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1355" windowHeight="4875"/>
  </bookViews>
  <sheets>
    <sheet name="Parte 1" sheetId="3" r:id="rId1"/>
    <sheet name="Parte 2 - Caso 1" sheetId="1" r:id="rId2"/>
    <sheet name="Parte 2 - Caso 2" sheetId="2" r:id="rId3"/>
  </sheets>
  <definedNames>
    <definedName name="_xlnm.Print_Area" localSheetId="1">'Parte 2 - Caso 1'!$B$2:$H$95</definedName>
    <definedName name="solver_adj" localSheetId="2" hidden="1">'Parte 2 - Caso 2'!$C$73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'Parte 2 - Caso 2'!$D$79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3</definedName>
    <definedName name="solver_val" localSheetId="2" hidden="1">0</definedName>
    <definedName name="solver_ver" localSheetId="2" hidden="1">3</definedName>
  </definedNames>
  <calcPr calcId="145621" iterate="1"/>
</workbook>
</file>

<file path=xl/calcChain.xml><?xml version="1.0" encoding="utf-8"?>
<calcChain xmlns="http://schemas.openxmlformats.org/spreadsheetml/2006/main">
  <c r="D31" i="2" l="1"/>
  <c r="E69" i="2"/>
  <c r="E68" i="2"/>
  <c r="E67" i="2"/>
  <c r="D62" i="2"/>
  <c r="D22" i="2" l="1"/>
  <c r="D24" i="2"/>
  <c r="C20" i="2"/>
  <c r="C19" i="2"/>
  <c r="B122" i="1"/>
  <c r="C119" i="1" s="1"/>
  <c r="F112" i="1"/>
  <c r="F113" i="1" s="1"/>
  <c r="F110" i="1"/>
  <c r="F106" i="1"/>
  <c r="E98" i="1"/>
  <c r="F104" i="1"/>
  <c r="F103" i="1"/>
  <c r="E97" i="1"/>
  <c r="D96" i="1"/>
  <c r="E96" i="1"/>
  <c r="C96" i="1"/>
  <c r="E91" i="1"/>
  <c r="E82" i="1"/>
  <c r="E85" i="1" s="1"/>
  <c r="E110" i="1"/>
  <c r="C110" i="1"/>
  <c r="C112" i="1" s="1"/>
  <c r="D91" i="1"/>
  <c r="C91" i="1"/>
  <c r="D82" i="1"/>
  <c r="C82" i="1"/>
  <c r="D61" i="1"/>
  <c r="E61" i="1"/>
  <c r="C40" i="1"/>
  <c r="D18" i="1"/>
  <c r="D19" i="1" s="1"/>
  <c r="C18" i="1"/>
  <c r="C19" i="1" s="1"/>
  <c r="D6" i="1"/>
  <c r="C6" i="1"/>
  <c r="C7" i="1" s="1"/>
  <c r="D4" i="1"/>
  <c r="D5" i="1" s="1"/>
  <c r="D83" i="1" s="1"/>
  <c r="C4" i="1"/>
  <c r="C5" i="1" s="1"/>
  <c r="C83" i="1" s="1"/>
  <c r="C26" i="2" l="1"/>
  <c r="C33" i="2" s="1"/>
  <c r="C21" i="2"/>
  <c r="D21" i="2" s="1"/>
  <c r="C85" i="1"/>
  <c r="E88" i="1"/>
  <c r="E86" i="1"/>
  <c r="D85" i="1"/>
  <c r="D7" i="1"/>
  <c r="D29" i="2" l="1"/>
  <c r="D23" i="2"/>
  <c r="D30" i="2" s="1"/>
  <c r="D88" i="1"/>
  <c r="D86" i="1"/>
  <c r="E90" i="1"/>
  <c r="E92" i="1" s="1"/>
  <c r="E89" i="1"/>
  <c r="C86" i="1"/>
  <c r="C88" i="1"/>
  <c r="D26" i="2" l="1"/>
  <c r="D33" i="2" s="1"/>
  <c r="C37" i="2" s="1"/>
  <c r="C97" i="1"/>
  <c r="C98" i="1" s="1"/>
  <c r="C89" i="1"/>
  <c r="C90" i="1"/>
  <c r="C92" i="1" s="1"/>
  <c r="D103" i="1" s="1"/>
  <c r="D106" i="1" s="1"/>
  <c r="D89" i="1"/>
  <c r="D90" i="1"/>
  <c r="D92" i="1" s="1"/>
  <c r="E103" i="1" s="1"/>
  <c r="D97" i="1"/>
  <c r="E106" i="1" l="1"/>
  <c r="E112" i="1" s="1"/>
  <c r="E113" i="1" s="1"/>
  <c r="D109" i="1"/>
  <c r="D110" i="1" s="1"/>
  <c r="D112" i="1" s="1"/>
  <c r="D113" i="1" s="1"/>
  <c r="D98" i="1"/>
  <c r="C20" i="1"/>
  <c r="E26" i="1" s="1"/>
  <c r="D12" i="1"/>
  <c r="C12" i="1"/>
  <c r="C11" i="1"/>
  <c r="C58" i="2"/>
  <c r="C57" i="2"/>
  <c r="C49" i="1"/>
  <c r="C50" i="1" s="1"/>
  <c r="C113" i="1" s="1"/>
  <c r="E32" i="1"/>
  <c r="C32" i="1"/>
  <c r="D11" i="1"/>
  <c r="D60" i="2" l="1"/>
  <c r="C114" i="1"/>
  <c r="C34" i="1"/>
  <c r="C58" i="1"/>
  <c r="C61" i="1" s="1"/>
  <c r="C60" i="1"/>
  <c r="B76" i="1"/>
  <c r="D13" i="1"/>
  <c r="E25" i="1" s="1"/>
  <c r="E28" i="1" s="1"/>
  <c r="E34" i="1" s="1"/>
  <c r="E57" i="1" s="1"/>
  <c r="E60" i="1" s="1"/>
  <c r="C13" i="1"/>
  <c r="D25" i="1" s="1"/>
  <c r="D28" i="1" s="1"/>
  <c r="D20" i="1"/>
  <c r="D31" i="1"/>
  <c r="D32" i="1" s="1"/>
  <c r="C64" i="2"/>
  <c r="C35" i="1"/>
  <c r="C59" i="2"/>
  <c r="D59" i="2" s="1"/>
  <c r="C71" i="2"/>
  <c r="D61" i="2" l="1"/>
  <c r="C75" i="2"/>
  <c r="D75" i="2" s="1"/>
  <c r="C89" i="2"/>
  <c r="D34" i="1"/>
  <c r="D57" i="1" s="1"/>
  <c r="D60" i="1" s="1"/>
  <c r="C63" i="1" s="1"/>
  <c r="E35" i="1"/>
  <c r="C87" i="2"/>
  <c r="E59" i="2"/>
  <c r="E60" i="2" s="1"/>
  <c r="D64" i="2" l="1"/>
  <c r="D71" i="2" s="1"/>
  <c r="C76" i="2" s="1"/>
  <c r="D76" i="2" s="1"/>
  <c r="D89" i="2"/>
  <c r="D35" i="1"/>
  <c r="C36" i="1" s="1"/>
  <c r="C73" i="1" s="1"/>
  <c r="E62" i="2"/>
  <c r="E61" i="2"/>
  <c r="C90" i="2" l="1"/>
  <c r="D90" i="2" s="1"/>
  <c r="E64" i="2"/>
  <c r="E71" i="2" s="1"/>
  <c r="C77" i="2" l="1"/>
  <c r="D77" i="2" s="1"/>
  <c r="D79" i="2" s="1"/>
  <c r="C91" i="2"/>
  <c r="D91" i="2" s="1"/>
  <c r="D93" i="2" s="1"/>
</calcChain>
</file>

<file path=xl/sharedStrings.xml><?xml version="1.0" encoding="utf-8"?>
<sst xmlns="http://schemas.openxmlformats.org/spreadsheetml/2006/main" count="149" uniqueCount="93">
  <si>
    <t>DR previsional</t>
  </si>
  <si>
    <t xml:space="preserve">EBIT </t>
  </si>
  <si>
    <t>EBIT (1-t)</t>
  </si>
  <si>
    <t>Amortiz</t>
  </si>
  <si>
    <t>Cash-flow Operacional</t>
  </si>
  <si>
    <t>Working Capital</t>
  </si>
  <si>
    <t>Vendas</t>
  </si>
  <si>
    <t>Working capital</t>
  </si>
  <si>
    <t>Inv. WC</t>
  </si>
  <si>
    <t>Cash-Flow</t>
  </si>
  <si>
    <t>CFO</t>
  </si>
  <si>
    <t>VR WC</t>
  </si>
  <si>
    <t>VR Capex</t>
  </si>
  <si>
    <t>Total</t>
  </si>
  <si>
    <t>Capex</t>
  </si>
  <si>
    <t>Taxa de actualização</t>
  </si>
  <si>
    <t>BL</t>
  </si>
  <si>
    <t>BU</t>
  </si>
  <si>
    <t>BD</t>
  </si>
  <si>
    <t>Rf</t>
  </si>
  <si>
    <t>Rd</t>
  </si>
  <si>
    <t xml:space="preserve"> t</t>
  </si>
  <si>
    <t xml:space="preserve"> D/E</t>
  </si>
  <si>
    <t>CPI</t>
  </si>
  <si>
    <t>VAL</t>
  </si>
  <si>
    <t>CFA</t>
  </si>
  <si>
    <t>Dados</t>
  </si>
  <si>
    <t xml:space="preserve">Montante: </t>
  </si>
  <si>
    <t>Serviço da Dívida:</t>
  </si>
  <si>
    <t>Juros</t>
  </si>
  <si>
    <t>Amortização</t>
  </si>
  <si>
    <t>Out-Flows financeiros</t>
  </si>
  <si>
    <t>Beneficio fiscais</t>
  </si>
  <si>
    <t xml:space="preserve">   Juros</t>
  </si>
  <si>
    <t>KA</t>
  </si>
  <si>
    <t xml:space="preserve">Prazo </t>
  </si>
  <si>
    <t>Imposto de selo sobre juros</t>
  </si>
  <si>
    <t>Imposto de selo sobre abertura de crédito</t>
  </si>
  <si>
    <t>Valor do emprestimo</t>
  </si>
  <si>
    <t>Valor em divida</t>
  </si>
  <si>
    <t>ISSAC</t>
  </si>
  <si>
    <t>ISSJ</t>
  </si>
  <si>
    <t xml:space="preserve">   ISSJ</t>
  </si>
  <si>
    <t xml:space="preserve">    ISAC</t>
  </si>
  <si>
    <t>KA:</t>
  </si>
  <si>
    <t>Taxa de juro anual (juros pagos anualmente)</t>
  </si>
  <si>
    <t>RU nominal</t>
  </si>
  <si>
    <t>RU real</t>
  </si>
  <si>
    <t>EBITDA</t>
  </si>
  <si>
    <t>Margem EBITDA</t>
  </si>
  <si>
    <t xml:space="preserve">Rm </t>
  </si>
  <si>
    <t>que o valor do financiamento no momento zero descontado dos encargos deste periodo.</t>
  </si>
  <si>
    <t>Caso 1 a)</t>
  </si>
  <si>
    <t>Caso 1 b)</t>
  </si>
  <si>
    <t>Caso 1 c)</t>
  </si>
  <si>
    <t>Caso 2 b)</t>
  </si>
  <si>
    <t>Caso 2 a)</t>
  </si>
  <si>
    <t>Margem EBIT</t>
  </si>
  <si>
    <t>Indice de Rendibilidade do projecto</t>
  </si>
  <si>
    <t>CF + Capex</t>
  </si>
  <si>
    <t>VA (CF + Capex)</t>
  </si>
  <si>
    <t>VA (Capex)</t>
  </si>
  <si>
    <t>IRP</t>
  </si>
  <si>
    <t>Com TA = 8.986%</t>
  </si>
  <si>
    <t>É necessário calcular o Cash Flow Anual Equivalente do projecto da alinea a:</t>
  </si>
  <si>
    <t xml:space="preserve">CFAE alinea a </t>
  </si>
  <si>
    <t>factor de desconto a aplicar ao VAL a)</t>
  </si>
  <si>
    <t>Cálculo do VAL do projecto alternativo (com vida util de 3 anos):</t>
  </si>
  <si>
    <t>Custos Operacionais</t>
  </si>
  <si>
    <t>Custos operacionais ant.</t>
  </si>
  <si>
    <t>Custos de arrendamento</t>
  </si>
  <si>
    <t>É necessário calcular o Cash Flow Anual Equivalente do projecto da alinea c:</t>
  </si>
  <si>
    <t xml:space="preserve">CFAE alinea c </t>
  </si>
  <si>
    <t>factor de desconto a aplicar ao VAL c)</t>
  </si>
  <si>
    <t>1 ano</t>
  </si>
  <si>
    <t>100% final ano 1</t>
  </si>
  <si>
    <t>Empréstimo bancário no Banco A</t>
  </si>
  <si>
    <t>50% final do primeiro semestre e 50% no final do ano 1</t>
  </si>
  <si>
    <t xml:space="preserve">Em alternativa poderá deverá utilizar-se o KA do emprestimo do Banco A para verificar se o Valor actual dos out-flows financeiros e fiscais é maior ou menor </t>
  </si>
  <si>
    <t xml:space="preserve"> Como o valor é menor que zero, tal significa que Valor actual dos outflows financeiros e fiscais do emprestimo do Banco B são inferior ao valor do emprestimo do financiamento, pelo que o KA desta operação é superior ao KA do emprestimo do Banco A. </t>
  </si>
  <si>
    <t>Escolher o empréstimo bancário que apresenta o KA mais baixo - &gt; Emprestimo do Banco A</t>
  </si>
  <si>
    <t>Bu: Bl = Bu + (Bu - Bd) (1-t)(D/E)</t>
  </si>
  <si>
    <t>Bu = 1.11</t>
  </si>
  <si>
    <t>Caso 1.2</t>
  </si>
  <si>
    <t>Caso 1.1</t>
  </si>
  <si>
    <t>EBITDA 2 (preços correntes) = EBITDA 2 (preços constantes) (1 + CPI)^2</t>
  </si>
  <si>
    <t>CPI = 2.5%</t>
  </si>
  <si>
    <t>Caso 1.3</t>
  </si>
  <si>
    <t>kA = 5% (1+4%) (1-30%)</t>
  </si>
  <si>
    <t>kA = 3.64%</t>
  </si>
  <si>
    <t>Out-flows financeiros e fiscais</t>
  </si>
  <si>
    <t>Opção correta: nenhuma das anteriores: e) o valor correto seria 1.11</t>
  </si>
  <si>
    <t xml:space="preserve">Opção correta: 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</si>
</sst>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#,##0_ ;\-#,##0\ "/>
    <numFmt numFmtId="167" formatCode="#,##0.0_ ;\-#,##0.0\ "/>
    <numFmt numFmtId="168" formatCode="0.0%"/>
    <numFmt numFmtId="169" formatCode="_-* #,##0.000\ _€_-;\-* #,##0.000\ _€_-;_-* &quot;-&quot;??\ _€_-;_-@_-"/>
    <numFmt numFmtId="170" formatCode="_-* #,##0.0000\ _€_-;\-* #,##0.0000\ _€_-;_-* &quot;-&quot;??\ _€_-;_-@_-"/>
    <numFmt numFmtId="171" formatCode="0.000%"/>
    <numFmt numFmtId="172" formatCode="0.0000%"/>
    <numFmt numFmtId="173" formatCode="#,##0.0"/>
    <numFmt numFmtId="174" formatCode="0.00000%"/>
    <numFmt numFmtId="175" formatCode="0.000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5" fontId="0" fillId="0" borderId="1" xfId="1" applyNumberFormat="1" applyFont="1" applyBorder="1" applyAlignment="1">
      <alignment horizontal="right"/>
    </xf>
    <xf numFmtId="9" fontId="0" fillId="0" borderId="0" xfId="2" applyFont="1" applyAlignment="1">
      <alignment horizontal="right"/>
    </xf>
    <xf numFmtId="167" fontId="0" fillId="0" borderId="0" xfId="1" applyNumberFormat="1" applyFont="1" applyAlignment="1">
      <alignment horizontal="right"/>
    </xf>
    <xf numFmtId="166" fontId="0" fillId="0" borderId="1" xfId="1" applyNumberFormat="1" applyFont="1" applyBorder="1" applyAlignment="1">
      <alignment horizontal="right"/>
    </xf>
    <xf numFmtId="168" fontId="0" fillId="0" borderId="0" xfId="2" applyNumberFormat="1" applyFont="1" applyAlignment="1">
      <alignment horizontal="right"/>
    </xf>
    <xf numFmtId="169" fontId="0" fillId="0" borderId="0" xfId="1" applyNumberFormat="1" applyFont="1" applyAlignment="1">
      <alignment horizontal="right"/>
    </xf>
    <xf numFmtId="170" fontId="0" fillId="0" borderId="0" xfId="1" applyNumberFormat="1" applyFont="1" applyAlignment="1">
      <alignment horizontal="right"/>
    </xf>
    <xf numFmtId="10" fontId="0" fillId="0" borderId="0" xfId="2" applyNumberFormat="1" applyFont="1" applyAlignment="1">
      <alignment horizontal="right"/>
    </xf>
    <xf numFmtId="171" fontId="0" fillId="0" borderId="0" xfId="2" applyNumberFormat="1" applyFont="1" applyAlignment="1">
      <alignment horizontal="right"/>
    </xf>
    <xf numFmtId="165" fontId="0" fillId="0" borderId="0" xfId="1" applyNumberFormat="1" applyFont="1"/>
    <xf numFmtId="167" fontId="0" fillId="0" borderId="0" xfId="1" applyNumberFormat="1" applyFont="1"/>
    <xf numFmtId="172" fontId="0" fillId="0" borderId="0" xfId="2" applyNumberFormat="1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1" applyNumberFormat="1" applyFont="1" applyBorder="1"/>
    <xf numFmtId="166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73" fontId="0" fillId="0" borderId="0" xfId="1" applyNumberFormat="1" applyFont="1"/>
    <xf numFmtId="174" fontId="0" fillId="0" borderId="0" xfId="2" applyNumberFormat="1" applyFont="1"/>
    <xf numFmtId="165" fontId="0" fillId="0" borderId="0" xfId="1" applyNumberFormat="1" applyFont="1" applyBorder="1" applyAlignment="1">
      <alignment horizontal="right"/>
    </xf>
    <xf numFmtId="9" fontId="0" fillId="0" borderId="0" xfId="2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left"/>
    </xf>
    <xf numFmtId="167" fontId="0" fillId="0" borderId="0" xfId="1" applyNumberFormat="1" applyFont="1" applyAlignment="1"/>
    <xf numFmtId="175" fontId="0" fillId="0" borderId="0" xfId="2" applyNumberFormat="1" applyFont="1"/>
    <xf numFmtId="43" fontId="0" fillId="0" borderId="0" xfId="1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9" fontId="0" fillId="0" borderId="0" xfId="2" applyFont="1" applyAlignment="1">
      <alignment horizontal="left"/>
    </xf>
    <xf numFmtId="164" fontId="0" fillId="0" borderId="0" xfId="1" applyNumberFormat="1" applyFont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3"/>
  <sheetViews>
    <sheetView showGridLines="0" tabSelected="1" topLeftCell="A7" workbookViewId="0">
      <selection activeCell="A25" sqref="A25"/>
    </sheetView>
  </sheetViews>
  <sheetFormatPr defaultRowHeight="15" x14ac:dyDescent="0.25"/>
  <sheetData>
    <row r="2" spans="1:1" x14ac:dyDescent="0.25">
      <c r="A2" t="s">
        <v>84</v>
      </c>
    </row>
    <row r="4" spans="1:1" x14ac:dyDescent="0.25">
      <c r="A4" t="s">
        <v>81</v>
      </c>
    </row>
    <row r="5" spans="1:1" x14ac:dyDescent="0.25">
      <c r="A5" t="s">
        <v>82</v>
      </c>
    </row>
    <row r="7" spans="1:1" x14ac:dyDescent="0.25">
      <c r="A7" t="s">
        <v>91</v>
      </c>
    </row>
    <row r="10" spans="1:1" x14ac:dyDescent="0.25">
      <c r="A10" t="s">
        <v>83</v>
      </c>
    </row>
    <row r="12" spans="1:1" x14ac:dyDescent="0.25">
      <c r="A12" t="s">
        <v>85</v>
      </c>
    </row>
    <row r="13" spans="1:1" x14ac:dyDescent="0.25">
      <c r="A13" t="s">
        <v>86</v>
      </c>
    </row>
    <row r="15" spans="1:1" x14ac:dyDescent="0.25">
      <c r="A15" t="s">
        <v>92</v>
      </c>
    </row>
    <row r="18" spans="1:1" x14ac:dyDescent="0.25">
      <c r="A18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3" spans="1:1" x14ac:dyDescent="0.25">
      <c r="A23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"/>
  <sheetViews>
    <sheetView showGridLines="0" topLeftCell="A115" workbookViewId="0">
      <selection activeCell="E4" sqref="E4"/>
    </sheetView>
  </sheetViews>
  <sheetFormatPr defaultRowHeight="15" x14ac:dyDescent="0.25"/>
  <cols>
    <col min="1" max="1" width="9.140625" style="1"/>
    <col min="2" max="2" width="25" style="1" customWidth="1"/>
    <col min="3" max="8" width="12.7109375" style="2" customWidth="1"/>
    <col min="9" max="16384" width="9.140625" style="1"/>
  </cols>
  <sheetData>
    <row r="1" spans="1:7" x14ac:dyDescent="0.25">
      <c r="A1" s="1" t="s">
        <v>52</v>
      </c>
    </row>
    <row r="2" spans="1:7" x14ac:dyDescent="0.25">
      <c r="B2" s="1" t="s">
        <v>0</v>
      </c>
    </row>
    <row r="3" spans="1:7" x14ac:dyDescent="0.25">
      <c r="C3" s="3">
        <v>1</v>
      </c>
      <c r="D3" s="3">
        <v>2</v>
      </c>
      <c r="E3" s="3"/>
      <c r="F3" s="23"/>
      <c r="G3" s="23"/>
    </row>
    <row r="4" spans="1:7" x14ac:dyDescent="0.25">
      <c r="B4" s="1" t="s">
        <v>6</v>
      </c>
      <c r="C4" s="26">
        <f>100000/0.4</f>
        <v>250000</v>
      </c>
      <c r="D4" s="26">
        <f>100000/0.4</f>
        <v>250000</v>
      </c>
      <c r="E4" s="23"/>
      <c r="F4" s="23"/>
      <c r="G4" s="23"/>
    </row>
    <row r="5" spans="1:7" x14ac:dyDescent="0.25">
      <c r="B5" s="1" t="s">
        <v>68</v>
      </c>
      <c r="C5" s="26">
        <f>+C4-C6</f>
        <v>100000</v>
      </c>
      <c r="D5" s="26">
        <f>+D4-D6</f>
        <v>100000</v>
      </c>
      <c r="E5" s="23"/>
      <c r="F5" s="23"/>
      <c r="G5" s="23"/>
    </row>
    <row r="6" spans="1:7" x14ac:dyDescent="0.25">
      <c r="B6" s="1" t="s">
        <v>48</v>
      </c>
      <c r="C6" s="26">
        <f>+C9+C8</f>
        <v>150000</v>
      </c>
      <c r="D6" s="26">
        <f>+D9+D8</f>
        <v>150000</v>
      </c>
      <c r="E6" s="23"/>
      <c r="F6" s="23"/>
      <c r="G6" s="23"/>
    </row>
    <row r="7" spans="1:7" x14ac:dyDescent="0.25">
      <c r="B7" s="1" t="s">
        <v>49</v>
      </c>
      <c r="C7" s="24">
        <f>+C6/C4</f>
        <v>0.6</v>
      </c>
      <c r="D7" s="24">
        <f>+D6/D4</f>
        <v>0.6</v>
      </c>
      <c r="E7" s="24"/>
      <c r="F7" s="23"/>
      <c r="G7" s="23"/>
    </row>
    <row r="8" spans="1:7" x14ac:dyDescent="0.25">
      <c r="B8" s="1" t="s">
        <v>3</v>
      </c>
      <c r="C8" s="26">
        <v>50000</v>
      </c>
      <c r="D8" s="26">
        <v>50000</v>
      </c>
      <c r="E8" s="23"/>
      <c r="F8" s="23"/>
      <c r="G8" s="23"/>
    </row>
    <row r="9" spans="1:7" x14ac:dyDescent="0.25">
      <c r="B9" s="1" t="s">
        <v>1</v>
      </c>
      <c r="C9" s="2">
        <v>100000</v>
      </c>
      <c r="D9" s="2">
        <v>100000</v>
      </c>
    </row>
    <row r="10" spans="1:7" x14ac:dyDescent="0.25">
      <c r="B10" s="1" t="s">
        <v>57</v>
      </c>
      <c r="C10" s="4">
        <v>0.4</v>
      </c>
      <c r="D10" s="4">
        <v>0.4</v>
      </c>
    </row>
    <row r="11" spans="1:7" x14ac:dyDescent="0.25">
      <c r="B11" s="1" t="s">
        <v>2</v>
      </c>
      <c r="C11" s="2">
        <f>+C9*0.7</f>
        <v>70000</v>
      </c>
      <c r="D11" s="2">
        <f>+D9*0.7</f>
        <v>70000</v>
      </c>
    </row>
    <row r="12" spans="1:7" x14ac:dyDescent="0.25">
      <c r="B12" s="1" t="s">
        <v>3</v>
      </c>
      <c r="C12" s="2">
        <f>+C8</f>
        <v>50000</v>
      </c>
      <c r="D12" s="2">
        <f>+D8</f>
        <v>50000</v>
      </c>
    </row>
    <row r="13" spans="1:7" x14ac:dyDescent="0.25">
      <c r="B13" s="1" t="s">
        <v>4</v>
      </c>
      <c r="C13" s="2">
        <f>+C11+C12</f>
        <v>120000</v>
      </c>
      <c r="D13" s="2">
        <f t="shared" ref="D13" si="0">+D11+D12</f>
        <v>120000</v>
      </c>
    </row>
    <row r="15" spans="1:7" x14ac:dyDescent="0.25">
      <c r="B15" s="1" t="s">
        <v>5</v>
      </c>
    </row>
    <row r="16" spans="1:7" x14ac:dyDescent="0.25">
      <c r="C16" s="3">
        <v>1</v>
      </c>
      <c r="D16" s="3">
        <v>2</v>
      </c>
      <c r="E16" s="3"/>
      <c r="F16" s="23"/>
      <c r="G16" s="23"/>
    </row>
    <row r="17" spans="2:9" x14ac:dyDescent="0.25">
      <c r="B17" s="1" t="s">
        <v>57</v>
      </c>
      <c r="C17" s="4">
        <v>0.4</v>
      </c>
      <c r="D17" s="4">
        <v>0.4</v>
      </c>
      <c r="E17" s="4"/>
      <c r="F17" s="24"/>
      <c r="G17" s="24"/>
    </row>
    <row r="18" spans="2:9" x14ac:dyDescent="0.25">
      <c r="B18" s="1" t="s">
        <v>6</v>
      </c>
      <c r="C18" s="25">
        <f>+C9/C17</f>
        <v>250000</v>
      </c>
      <c r="D18" s="25">
        <f>+D9/D17</f>
        <v>250000</v>
      </c>
      <c r="E18" s="25"/>
    </row>
    <row r="19" spans="2:9" x14ac:dyDescent="0.25">
      <c r="B19" s="1" t="s">
        <v>7</v>
      </c>
      <c r="C19" s="2">
        <f>+C18*0.1</f>
        <v>25000</v>
      </c>
      <c r="D19" s="2">
        <f>+D18*0.1</f>
        <v>25000</v>
      </c>
    </row>
    <row r="20" spans="2:9" x14ac:dyDescent="0.25">
      <c r="B20" s="1" t="s">
        <v>8</v>
      </c>
      <c r="C20" s="2">
        <f>+C19</f>
        <v>25000</v>
      </c>
      <c r="D20" s="5">
        <f>+D19-C20</f>
        <v>0</v>
      </c>
      <c r="E20" s="5"/>
      <c r="F20" s="5"/>
      <c r="G20" s="5"/>
    </row>
    <row r="23" spans="2:9" x14ac:dyDescent="0.25">
      <c r="B23" s="1" t="s">
        <v>9</v>
      </c>
    </row>
    <row r="24" spans="2:9" x14ac:dyDescent="0.25">
      <c r="C24" s="6">
        <v>0</v>
      </c>
      <c r="D24" s="3">
        <v>1</v>
      </c>
      <c r="E24" s="3">
        <v>2</v>
      </c>
      <c r="F24" s="3"/>
      <c r="G24" s="23"/>
      <c r="H24" s="23"/>
      <c r="I24" s="16"/>
    </row>
    <row r="25" spans="2:9" x14ac:dyDescent="0.25">
      <c r="B25" s="1" t="s">
        <v>10</v>
      </c>
      <c r="D25" s="2">
        <f>+C13</f>
        <v>120000</v>
      </c>
      <c r="E25" s="2">
        <f t="shared" ref="E25" si="1">+D13</f>
        <v>120000</v>
      </c>
      <c r="G25" s="26"/>
      <c r="H25" s="26"/>
      <c r="I25" s="16"/>
    </row>
    <row r="26" spans="2:9" x14ac:dyDescent="0.25">
      <c r="B26" s="1" t="s">
        <v>11</v>
      </c>
      <c r="E26" s="2">
        <f>+C20</f>
        <v>25000</v>
      </c>
      <c r="G26" s="26"/>
      <c r="H26" s="26"/>
      <c r="I26" s="16"/>
    </row>
    <row r="27" spans="2:9" x14ac:dyDescent="0.25">
      <c r="B27" s="1" t="s">
        <v>12</v>
      </c>
      <c r="G27" s="26"/>
      <c r="H27" s="26"/>
      <c r="I27" s="16"/>
    </row>
    <row r="28" spans="2:9" x14ac:dyDescent="0.25">
      <c r="B28" s="1" t="s">
        <v>13</v>
      </c>
      <c r="D28" s="2">
        <f>+D25+D26+D27</f>
        <v>120000</v>
      </c>
      <c r="E28" s="2">
        <f t="shared" ref="E28" si="2">+E25+E26+E27</f>
        <v>145000</v>
      </c>
      <c r="G28" s="26"/>
      <c r="H28" s="26"/>
      <c r="I28" s="16"/>
    </row>
    <row r="29" spans="2:9" x14ac:dyDescent="0.25">
      <c r="G29" s="26"/>
      <c r="H29" s="26"/>
      <c r="I29" s="16"/>
    </row>
    <row r="30" spans="2:9" x14ac:dyDescent="0.25">
      <c r="B30" s="1" t="s">
        <v>14</v>
      </c>
      <c r="C30" s="2">
        <v>100000</v>
      </c>
      <c r="G30" s="26"/>
      <c r="H30" s="26"/>
      <c r="I30" s="16"/>
    </row>
    <row r="31" spans="2:9" x14ac:dyDescent="0.25">
      <c r="B31" s="1" t="s">
        <v>8</v>
      </c>
      <c r="D31" s="2">
        <f>+C20</f>
        <v>25000</v>
      </c>
      <c r="G31" s="26"/>
      <c r="H31" s="26"/>
      <c r="I31" s="16"/>
    </row>
    <row r="32" spans="2:9" x14ac:dyDescent="0.25">
      <c r="B32" s="1" t="s">
        <v>13</v>
      </c>
      <c r="C32" s="2">
        <f>+C31+C30</f>
        <v>100000</v>
      </c>
      <c r="D32" s="2">
        <f t="shared" ref="D32:E32" si="3">+D31+D30</f>
        <v>25000</v>
      </c>
      <c r="E32" s="2">
        <f t="shared" si="3"/>
        <v>0</v>
      </c>
      <c r="G32" s="26"/>
      <c r="H32" s="26"/>
      <c r="I32" s="16"/>
    </row>
    <row r="33" spans="2:9" x14ac:dyDescent="0.25">
      <c r="G33" s="26"/>
      <c r="H33" s="26"/>
      <c r="I33" s="16"/>
    </row>
    <row r="34" spans="2:9" x14ac:dyDescent="0.25">
      <c r="B34" s="1" t="s">
        <v>9</v>
      </c>
      <c r="C34" s="2">
        <f>+C28-C32</f>
        <v>-100000</v>
      </c>
      <c r="D34" s="2">
        <f t="shared" ref="D34:E34" si="4">+D28-D32</f>
        <v>95000</v>
      </c>
      <c r="E34" s="2">
        <f t="shared" si="4"/>
        <v>145000</v>
      </c>
      <c r="G34" s="26"/>
      <c r="H34" s="26"/>
      <c r="I34" s="16"/>
    </row>
    <row r="35" spans="2:9" x14ac:dyDescent="0.25">
      <c r="B35" s="1" t="s">
        <v>25</v>
      </c>
      <c r="C35" s="2">
        <f>+C34/(1+$C$50)^C24</f>
        <v>-100000</v>
      </c>
      <c r="D35" s="2">
        <f>+D34/(1+$C$50)^D24</f>
        <v>87167.49684038361</v>
      </c>
      <c r="E35" s="2">
        <f>+E34/(1+$C$50)^E24</f>
        <v>122075.90174910268</v>
      </c>
      <c r="G35" s="26"/>
      <c r="H35" s="26"/>
      <c r="I35" s="16"/>
    </row>
    <row r="36" spans="2:9" x14ac:dyDescent="0.25">
      <c r="B36" s="1" t="s">
        <v>24</v>
      </c>
      <c r="C36" s="2">
        <f>+C35+D35+E35+F35+G35+H35</f>
        <v>109243.39858948629</v>
      </c>
    </row>
    <row r="39" spans="2:9" x14ac:dyDescent="0.25">
      <c r="B39" s="1" t="s">
        <v>15</v>
      </c>
    </row>
    <row r="40" spans="2:9" x14ac:dyDescent="0.25">
      <c r="B40" s="1" t="s">
        <v>17</v>
      </c>
      <c r="C40" s="9">
        <f>(C41+C47*(1-C46)*C42)/(+C47*(1-C46)+1)</f>
        <v>1.0330578512396695</v>
      </c>
    </row>
    <row r="41" spans="2:9" x14ac:dyDescent="0.25">
      <c r="B41" s="1" t="s">
        <v>16</v>
      </c>
      <c r="C41" s="2">
        <v>1.25</v>
      </c>
    </row>
    <row r="42" spans="2:9" x14ac:dyDescent="0.25">
      <c r="B42" s="1" t="s">
        <v>18</v>
      </c>
      <c r="C42" s="2">
        <v>0</v>
      </c>
    </row>
    <row r="43" spans="2:9" x14ac:dyDescent="0.25">
      <c r="B43" s="1" t="s">
        <v>19</v>
      </c>
      <c r="C43" s="7">
        <v>0.06</v>
      </c>
    </row>
    <row r="44" spans="2:9" x14ac:dyDescent="0.25">
      <c r="B44" s="1" t="s">
        <v>50</v>
      </c>
      <c r="C44" s="7">
        <v>0.11</v>
      </c>
    </row>
    <row r="45" spans="2:9" x14ac:dyDescent="0.25">
      <c r="B45" s="1" t="s">
        <v>20</v>
      </c>
      <c r="C45" s="7">
        <v>0.06</v>
      </c>
    </row>
    <row r="46" spans="2:9" x14ac:dyDescent="0.25">
      <c r="B46" s="1" t="s">
        <v>21</v>
      </c>
      <c r="C46" s="4">
        <v>0.3</v>
      </c>
    </row>
    <row r="47" spans="2:9" x14ac:dyDescent="0.25">
      <c r="B47" s="1" t="s">
        <v>22</v>
      </c>
      <c r="C47" s="2">
        <v>0.3</v>
      </c>
    </row>
    <row r="48" spans="2:9" x14ac:dyDescent="0.25">
      <c r="B48" s="1" t="s">
        <v>23</v>
      </c>
      <c r="C48" s="7">
        <v>0.02</v>
      </c>
    </row>
    <row r="49" spans="1:8" x14ac:dyDescent="0.25">
      <c r="B49" s="1" t="s">
        <v>46</v>
      </c>
      <c r="C49" s="10">
        <f>+C43+C40*(C44-C43)</f>
        <v>0.11165289256198348</v>
      </c>
    </row>
    <row r="50" spans="1:8" x14ac:dyDescent="0.25">
      <c r="B50" s="1" t="s">
        <v>47</v>
      </c>
      <c r="C50" s="11">
        <f>+(1+C49)/(1+C48)-1</f>
        <v>8.9855777021552452E-2</v>
      </c>
    </row>
    <row r="52" spans="1:8" x14ac:dyDescent="0.25">
      <c r="A52" s="1" t="s">
        <v>53</v>
      </c>
    </row>
    <row r="53" spans="1:8" x14ac:dyDescent="0.25">
      <c r="B53" s="1" t="s">
        <v>58</v>
      </c>
    </row>
    <row r="55" spans="1:8" x14ac:dyDescent="0.25">
      <c r="C55" s="6">
        <v>0</v>
      </c>
      <c r="D55" s="3">
        <v>1</v>
      </c>
      <c r="E55" s="3">
        <v>2</v>
      </c>
      <c r="F55" s="3"/>
      <c r="G55" s="23"/>
      <c r="H55" s="23"/>
    </row>
    <row r="57" spans="1:8" x14ac:dyDescent="0.25">
      <c r="B57" s="1" t="s">
        <v>59</v>
      </c>
      <c r="C57" s="27">
        <v>0</v>
      </c>
      <c r="D57" s="27">
        <f>+D34</f>
        <v>95000</v>
      </c>
      <c r="E57" s="27">
        <f>+E34</f>
        <v>145000</v>
      </c>
    </row>
    <row r="58" spans="1:8" x14ac:dyDescent="0.25">
      <c r="B58" s="1" t="s">
        <v>14</v>
      </c>
      <c r="C58" s="27">
        <f>+C32</f>
        <v>100000</v>
      </c>
      <c r="D58" s="27"/>
      <c r="E58" s="27"/>
    </row>
    <row r="59" spans="1:8" x14ac:dyDescent="0.25">
      <c r="C59" s="27"/>
      <c r="D59" s="27"/>
      <c r="E59" s="27"/>
    </row>
    <row r="60" spans="1:8" x14ac:dyDescent="0.25">
      <c r="B60" s="1" t="s">
        <v>60</v>
      </c>
      <c r="C60" s="5">
        <f>+C57/(1+$C$50)^C55</f>
        <v>0</v>
      </c>
      <c r="D60" s="5">
        <f t="shared" ref="D60:E60" si="5">+D57/(1+$C$50)^D55</f>
        <v>87167.49684038361</v>
      </c>
      <c r="E60" s="5">
        <f t="shared" si="5"/>
        <v>122075.90174910268</v>
      </c>
    </row>
    <row r="61" spans="1:8" x14ac:dyDescent="0.25">
      <c r="B61" s="1" t="s">
        <v>61</v>
      </c>
      <c r="C61" s="5">
        <f>+C58/(1+C50)^C55</f>
        <v>100000</v>
      </c>
      <c r="D61" s="5">
        <f t="shared" ref="D61:E61" si="6">+D58/(1+D50)^D55</f>
        <v>0</v>
      </c>
      <c r="E61" s="5">
        <f t="shared" si="6"/>
        <v>0</v>
      </c>
    </row>
    <row r="62" spans="1:8" x14ac:dyDescent="0.25">
      <c r="C62" s="28"/>
      <c r="D62" s="29"/>
    </row>
    <row r="63" spans="1:8" x14ac:dyDescent="0.25">
      <c r="B63" s="1" t="s">
        <v>62</v>
      </c>
      <c r="C63" s="32">
        <f>+(C60+D60+E60)/(C61+D61+E61)</f>
        <v>2.0924339858948628</v>
      </c>
      <c r="D63" s="29"/>
    </row>
    <row r="64" spans="1:8" x14ac:dyDescent="0.25">
      <c r="B64" s="1" t="s">
        <v>63</v>
      </c>
      <c r="C64" s="29"/>
    </row>
    <row r="67" spans="1:3" x14ac:dyDescent="0.25">
      <c r="C67" s="8"/>
    </row>
    <row r="68" spans="1:3" x14ac:dyDescent="0.25">
      <c r="A68" s="1" t="s">
        <v>54</v>
      </c>
    </row>
    <row r="71" spans="1:3" x14ac:dyDescent="0.25">
      <c r="B71" s="1" t="s">
        <v>64</v>
      </c>
    </row>
    <row r="73" spans="1:3" x14ac:dyDescent="0.25">
      <c r="B73" s="1" t="s">
        <v>65</v>
      </c>
      <c r="C73" s="2">
        <f>+C36/B76</f>
        <v>62089.326341577573</v>
      </c>
    </row>
    <row r="75" spans="1:3" x14ac:dyDescent="0.25">
      <c r="B75" s="1" t="s">
        <v>66</v>
      </c>
    </row>
    <row r="76" spans="1:3" x14ac:dyDescent="0.25">
      <c r="B76" s="1">
        <f>(1-(1+C50)^-2)/(C50)</f>
        <v>1.7594553690032937</v>
      </c>
    </row>
    <row r="78" spans="1:3" x14ac:dyDescent="0.25">
      <c r="B78" s="1" t="s">
        <v>67</v>
      </c>
    </row>
    <row r="80" spans="1:3" x14ac:dyDescent="0.25">
      <c r="B80" s="1" t="s">
        <v>0</v>
      </c>
    </row>
    <row r="81" spans="2:9" x14ac:dyDescent="0.25">
      <c r="C81" s="3">
        <v>1</v>
      </c>
      <c r="D81" s="3">
        <v>2</v>
      </c>
      <c r="E81" s="3">
        <v>3</v>
      </c>
      <c r="F81" s="23"/>
    </row>
    <row r="82" spans="2:9" x14ac:dyDescent="0.25">
      <c r="B82" s="1" t="s">
        <v>6</v>
      </c>
      <c r="C82" s="26">
        <f>100000/0.4</f>
        <v>250000</v>
      </c>
      <c r="D82" s="26">
        <f>100000/0.4</f>
        <v>250000</v>
      </c>
      <c r="E82" s="26">
        <f>100000/0.4</f>
        <v>250000</v>
      </c>
      <c r="F82" s="23"/>
    </row>
    <row r="83" spans="2:9" x14ac:dyDescent="0.25">
      <c r="B83" s="1" t="s">
        <v>69</v>
      </c>
      <c r="C83" s="26">
        <f>+C5</f>
        <v>100000</v>
      </c>
      <c r="D83" s="26">
        <f>+D5</f>
        <v>100000</v>
      </c>
      <c r="E83" s="26">
        <v>100000</v>
      </c>
      <c r="F83" s="23"/>
    </row>
    <row r="84" spans="2:9" x14ac:dyDescent="0.25">
      <c r="B84" s="1" t="s">
        <v>70</v>
      </c>
      <c r="C84" s="26">
        <v>10000</v>
      </c>
      <c r="D84" s="26">
        <v>10000</v>
      </c>
      <c r="E84" s="26">
        <v>10000</v>
      </c>
      <c r="F84" s="23"/>
    </row>
    <row r="85" spans="2:9" x14ac:dyDescent="0.25">
      <c r="B85" s="1" t="s">
        <v>48</v>
      </c>
      <c r="C85" s="26">
        <f>+C82-C83-C84</f>
        <v>140000</v>
      </c>
      <c r="D85" s="26">
        <f t="shared" ref="D85:E85" si="7">+D82-D83-D84</f>
        <v>140000</v>
      </c>
      <c r="E85" s="26">
        <f t="shared" si="7"/>
        <v>140000</v>
      </c>
      <c r="F85" s="23"/>
    </row>
    <row r="86" spans="2:9" x14ac:dyDescent="0.25">
      <c r="B86" s="1" t="s">
        <v>49</v>
      </c>
      <c r="C86" s="24">
        <f>+C85/C82</f>
        <v>0.56000000000000005</v>
      </c>
      <c r="D86" s="24">
        <f>+D85/D82</f>
        <v>0.56000000000000005</v>
      </c>
      <c r="E86" s="24">
        <f>+E85/E82</f>
        <v>0.56000000000000005</v>
      </c>
      <c r="F86" s="23"/>
    </row>
    <row r="87" spans="2:9" x14ac:dyDescent="0.25">
      <c r="B87" s="1" t="s">
        <v>3</v>
      </c>
      <c r="C87" s="26">
        <v>20000</v>
      </c>
      <c r="D87" s="26">
        <v>20000</v>
      </c>
      <c r="E87" s="26">
        <v>20000</v>
      </c>
      <c r="F87" s="23"/>
    </row>
    <row r="88" spans="2:9" x14ac:dyDescent="0.25">
      <c r="B88" s="1" t="s">
        <v>1</v>
      </c>
      <c r="C88" s="2">
        <f>+C85-C87</f>
        <v>120000</v>
      </c>
      <c r="D88" s="2">
        <f t="shared" ref="D88:E88" si="8">+D85-D87</f>
        <v>120000</v>
      </c>
      <c r="E88" s="2">
        <f t="shared" si="8"/>
        <v>120000</v>
      </c>
    </row>
    <row r="89" spans="2:9" x14ac:dyDescent="0.25">
      <c r="B89" s="1" t="s">
        <v>57</v>
      </c>
      <c r="C89" s="4">
        <f>+C88/C82</f>
        <v>0.48</v>
      </c>
      <c r="D89" s="4">
        <f t="shared" ref="D89:E89" si="9">+D88/D82</f>
        <v>0.48</v>
      </c>
      <c r="E89" s="4">
        <f t="shared" si="9"/>
        <v>0.48</v>
      </c>
    </row>
    <row r="90" spans="2:9" x14ac:dyDescent="0.25">
      <c r="B90" s="1" t="s">
        <v>2</v>
      </c>
      <c r="C90" s="2">
        <f>+C88*0.7</f>
        <v>84000</v>
      </c>
      <c r="D90" s="2">
        <f>+D88*0.7</f>
        <v>84000</v>
      </c>
      <c r="E90" s="2">
        <f>+E88*0.7</f>
        <v>84000</v>
      </c>
      <c r="G90" s="23"/>
      <c r="H90" s="23"/>
      <c r="I90" s="16"/>
    </row>
    <row r="91" spans="2:9" x14ac:dyDescent="0.25">
      <c r="B91" s="1" t="s">
        <v>3</v>
      </c>
      <c r="C91" s="2">
        <f>+C87</f>
        <v>20000</v>
      </c>
      <c r="D91" s="2">
        <f>+D87</f>
        <v>20000</v>
      </c>
      <c r="E91" s="2">
        <f>+E87</f>
        <v>20000</v>
      </c>
      <c r="G91" s="26"/>
      <c r="H91" s="26"/>
      <c r="I91" s="16"/>
    </row>
    <row r="92" spans="2:9" x14ac:dyDescent="0.25">
      <c r="B92" s="1" t="s">
        <v>4</v>
      </c>
      <c r="C92" s="2">
        <f>+C90+C91</f>
        <v>104000</v>
      </c>
      <c r="D92" s="2">
        <f t="shared" ref="D92:E92" si="10">+D90+D91</f>
        <v>104000</v>
      </c>
      <c r="E92" s="2">
        <f t="shared" si="10"/>
        <v>104000</v>
      </c>
      <c r="G92" s="26"/>
      <c r="H92" s="26"/>
      <c r="I92" s="16"/>
    </row>
    <row r="93" spans="2:9" x14ac:dyDescent="0.25">
      <c r="G93" s="26"/>
      <c r="H93" s="26"/>
      <c r="I93" s="16"/>
    </row>
    <row r="94" spans="2:9" x14ac:dyDescent="0.25">
      <c r="B94" s="1" t="s">
        <v>5</v>
      </c>
      <c r="G94" s="26"/>
      <c r="H94" s="26"/>
      <c r="I94" s="16"/>
    </row>
    <row r="95" spans="2:9" x14ac:dyDescent="0.25">
      <c r="C95" s="3">
        <v>1</v>
      </c>
      <c r="D95" s="3">
        <v>2</v>
      </c>
      <c r="E95" s="3">
        <v>3</v>
      </c>
      <c r="F95" s="23"/>
      <c r="G95" s="26"/>
      <c r="H95" s="26"/>
      <c r="I95" s="16"/>
    </row>
    <row r="96" spans="2:9" x14ac:dyDescent="0.25">
      <c r="B96" s="1" t="s">
        <v>6</v>
      </c>
      <c r="C96" s="25">
        <f>+C82</f>
        <v>250000</v>
      </c>
      <c r="D96" s="25">
        <f t="shared" ref="D96:E96" si="11">+D82</f>
        <v>250000</v>
      </c>
      <c r="E96" s="25">
        <f t="shared" si="11"/>
        <v>250000</v>
      </c>
    </row>
    <row r="97" spans="2:6" x14ac:dyDescent="0.25">
      <c r="B97" s="1" t="s">
        <v>7</v>
      </c>
      <c r="C97" s="2">
        <f>+C96*0.1</f>
        <v>25000</v>
      </c>
      <c r="D97" s="2">
        <f>+D96*0.1</f>
        <v>25000</v>
      </c>
      <c r="E97" s="2">
        <f>+E96*0.1</f>
        <v>25000</v>
      </c>
    </row>
    <row r="98" spans="2:6" x14ac:dyDescent="0.25">
      <c r="B98" s="1" t="s">
        <v>8</v>
      </c>
      <c r="C98" s="2">
        <f>+C97</f>
        <v>25000</v>
      </c>
      <c r="D98" s="5">
        <f>+D97-C98</f>
        <v>0</v>
      </c>
      <c r="E98" s="5">
        <f>+E97-D97</f>
        <v>0</v>
      </c>
      <c r="F98" s="5"/>
    </row>
    <row r="101" spans="2:6" x14ac:dyDescent="0.25">
      <c r="B101" s="1" t="s">
        <v>9</v>
      </c>
    </row>
    <row r="102" spans="2:6" x14ac:dyDescent="0.25">
      <c r="C102" s="6">
        <v>0</v>
      </c>
      <c r="D102" s="3">
        <v>1</v>
      </c>
      <c r="E102" s="3">
        <v>2</v>
      </c>
      <c r="F102" s="3">
        <v>3</v>
      </c>
    </row>
    <row r="103" spans="2:6" x14ac:dyDescent="0.25">
      <c r="B103" s="1" t="s">
        <v>10</v>
      </c>
      <c r="D103" s="2">
        <f>+C92</f>
        <v>104000</v>
      </c>
      <c r="E103" s="2">
        <f>+D92</f>
        <v>104000</v>
      </c>
      <c r="F103" s="2">
        <f>+E92</f>
        <v>104000</v>
      </c>
    </row>
    <row r="104" spans="2:6" x14ac:dyDescent="0.25">
      <c r="B104" s="1" t="s">
        <v>11</v>
      </c>
      <c r="F104" s="2">
        <f>+C98</f>
        <v>25000</v>
      </c>
    </row>
    <row r="105" spans="2:6" x14ac:dyDescent="0.25">
      <c r="B105" s="1" t="s">
        <v>12</v>
      </c>
    </row>
    <row r="106" spans="2:6" x14ac:dyDescent="0.25">
      <c r="B106" s="1" t="s">
        <v>13</v>
      </c>
      <c r="D106" s="2">
        <f>+D103+D104+D105</f>
        <v>104000</v>
      </c>
      <c r="E106" s="2">
        <f t="shared" ref="E106:F106" si="12">+E103+E104+E105</f>
        <v>104000</v>
      </c>
      <c r="F106" s="2">
        <f t="shared" si="12"/>
        <v>129000</v>
      </c>
    </row>
    <row r="108" spans="2:6" x14ac:dyDescent="0.25">
      <c r="B108" s="1" t="s">
        <v>14</v>
      </c>
      <c r="C108" s="2">
        <v>60000</v>
      </c>
    </row>
    <row r="109" spans="2:6" x14ac:dyDescent="0.25">
      <c r="B109" s="1" t="s">
        <v>8</v>
      </c>
      <c r="D109" s="2">
        <f>+C98</f>
        <v>25000</v>
      </c>
    </row>
    <row r="110" spans="2:6" x14ac:dyDescent="0.25">
      <c r="B110" s="1" t="s">
        <v>13</v>
      </c>
      <c r="C110" s="2">
        <f>+C109+C108</f>
        <v>60000</v>
      </c>
      <c r="D110" s="2">
        <f t="shared" ref="D110:F110" si="13">+D109+D108</f>
        <v>25000</v>
      </c>
      <c r="E110" s="2">
        <f t="shared" si="13"/>
        <v>0</v>
      </c>
      <c r="F110" s="2">
        <f t="shared" si="13"/>
        <v>0</v>
      </c>
    </row>
    <row r="112" spans="2:6" x14ac:dyDescent="0.25">
      <c r="B112" s="1" t="s">
        <v>9</v>
      </c>
      <c r="C112" s="2">
        <f>+C106-C110</f>
        <v>-60000</v>
      </c>
      <c r="D112" s="2">
        <f t="shared" ref="D112:E112" si="14">+D106-D110</f>
        <v>79000</v>
      </c>
      <c r="E112" s="2">
        <f t="shared" si="14"/>
        <v>104000</v>
      </c>
      <c r="F112" s="2">
        <f t="shared" ref="F112" si="15">+F106-F110</f>
        <v>129000</v>
      </c>
    </row>
    <row r="113" spans="2:6" x14ac:dyDescent="0.25">
      <c r="B113" s="1" t="s">
        <v>25</v>
      </c>
      <c r="C113" s="2">
        <f>+C112/(1+$C$50)^C102</f>
        <v>-60000</v>
      </c>
      <c r="D113" s="2">
        <f t="shared" ref="D113:E113" si="16">+D112/(1+$C$50)^D102</f>
        <v>72486.655267266367</v>
      </c>
      <c r="E113" s="2">
        <f t="shared" si="16"/>
        <v>87557.888151080537</v>
      </c>
      <c r="F113" s="2">
        <f t="shared" ref="F113" si="17">+F112/(1+$C$50)^F102</f>
        <v>99651.219645752702</v>
      </c>
    </row>
    <row r="114" spans="2:6" x14ac:dyDescent="0.25">
      <c r="B114" s="1" t="s">
        <v>24</v>
      </c>
      <c r="C114" s="2">
        <f>+C113+D113+E113+F113+G113+H113</f>
        <v>199695.76306409959</v>
      </c>
    </row>
    <row r="117" spans="2:6" x14ac:dyDescent="0.25">
      <c r="B117" s="1" t="s">
        <v>71</v>
      </c>
    </row>
    <row r="119" spans="2:6" x14ac:dyDescent="0.25">
      <c r="B119" s="1" t="s">
        <v>72</v>
      </c>
      <c r="C119" s="2">
        <f>+C114/B122</f>
        <v>78870.484178458297</v>
      </c>
    </row>
    <row r="121" spans="2:6" x14ac:dyDescent="0.25">
      <c r="B121" s="1" t="s">
        <v>73</v>
      </c>
    </row>
    <row r="122" spans="2:6" x14ac:dyDescent="0.25">
      <c r="B122" s="1">
        <f>(1-(1+C50)^-3)/(C50)</f>
        <v>2.5319454437765705</v>
      </c>
    </row>
  </sheetData>
  <pageMargins left="0" right="0.11811023622047245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workbookViewId="0"/>
  </sheetViews>
  <sheetFormatPr defaultRowHeight="15" x14ac:dyDescent="0.25"/>
  <cols>
    <col min="1" max="1" width="42.28515625" style="1" customWidth="1"/>
    <col min="2" max="2" width="29.28515625" style="1" bestFit="1" customWidth="1"/>
    <col min="3" max="9" width="17.7109375" style="1" customWidth="1"/>
    <col min="10" max="16384" width="9.140625" style="1"/>
  </cols>
  <sheetData>
    <row r="1" spans="1:2" x14ac:dyDescent="0.25">
      <c r="A1" s="1" t="s">
        <v>56</v>
      </c>
    </row>
    <row r="3" spans="1:2" x14ac:dyDescent="0.25">
      <c r="A3" s="1" t="s">
        <v>26</v>
      </c>
    </row>
    <row r="5" spans="1:2" x14ac:dyDescent="0.25">
      <c r="A5" s="1" t="s">
        <v>76</v>
      </c>
    </row>
    <row r="7" spans="1:2" x14ac:dyDescent="0.25">
      <c r="A7" s="1" t="s">
        <v>27</v>
      </c>
      <c r="B7" s="2">
        <v>50000</v>
      </c>
    </row>
    <row r="8" spans="1:2" x14ac:dyDescent="0.25">
      <c r="A8" s="1" t="s">
        <v>45</v>
      </c>
      <c r="B8" s="4">
        <v>0.06</v>
      </c>
    </row>
    <row r="9" spans="1:2" x14ac:dyDescent="0.25">
      <c r="A9" s="1" t="s">
        <v>35</v>
      </c>
      <c r="B9" s="4" t="s">
        <v>74</v>
      </c>
    </row>
    <row r="10" spans="1:2" x14ac:dyDescent="0.25">
      <c r="A10" s="1" t="s">
        <v>30</v>
      </c>
      <c r="B10" s="4" t="s">
        <v>75</v>
      </c>
    </row>
    <row r="11" spans="1:2" x14ac:dyDescent="0.25">
      <c r="A11" s="1" t="s">
        <v>36</v>
      </c>
      <c r="B11" s="7">
        <v>0.04</v>
      </c>
    </row>
    <row r="12" spans="1:2" x14ac:dyDescent="0.25">
      <c r="A12" s="1" t="s">
        <v>37</v>
      </c>
      <c r="B12" s="7">
        <v>5.0000000000000001E-3</v>
      </c>
    </row>
    <row r="15" spans="1:2" x14ac:dyDescent="0.25">
      <c r="B15" s="1" t="s">
        <v>28</v>
      </c>
    </row>
    <row r="17" spans="2:5" x14ac:dyDescent="0.25">
      <c r="B17" s="15"/>
      <c r="C17" s="19">
        <v>0</v>
      </c>
      <c r="D17" s="20">
        <v>1</v>
      </c>
    </row>
    <row r="18" spans="2:5" x14ac:dyDescent="0.25">
      <c r="B18" s="16"/>
      <c r="C18" s="17"/>
      <c r="D18" s="18"/>
      <c r="E18" s="33"/>
    </row>
    <row r="19" spans="2:5" x14ac:dyDescent="0.25">
      <c r="B19" s="1" t="s">
        <v>38</v>
      </c>
      <c r="C19" s="21">
        <f>+B7</f>
        <v>50000</v>
      </c>
      <c r="D19" s="21"/>
      <c r="E19" s="17"/>
    </row>
    <row r="20" spans="2:5" x14ac:dyDescent="0.25">
      <c r="B20" s="1" t="s">
        <v>40</v>
      </c>
      <c r="C20" s="21">
        <f>+B7*B12</f>
        <v>250</v>
      </c>
      <c r="D20" s="21"/>
      <c r="E20" s="13"/>
    </row>
    <row r="21" spans="2:5" x14ac:dyDescent="0.25">
      <c r="B21" s="1" t="s">
        <v>39</v>
      </c>
      <c r="C21" s="21">
        <f>+C19</f>
        <v>50000</v>
      </c>
      <c r="D21" s="21">
        <f>+C21</f>
        <v>50000</v>
      </c>
      <c r="E21" s="13"/>
    </row>
    <row r="22" spans="2:5" x14ac:dyDescent="0.25">
      <c r="B22" s="1" t="s">
        <v>29</v>
      </c>
      <c r="C22" s="21"/>
      <c r="D22" s="21">
        <f>+C19*B8</f>
        <v>3000</v>
      </c>
      <c r="E22" s="13"/>
    </row>
    <row r="23" spans="2:5" x14ac:dyDescent="0.25">
      <c r="B23" s="1" t="s">
        <v>41</v>
      </c>
      <c r="C23" s="21"/>
      <c r="D23" s="21">
        <f>+D22*B11</f>
        <v>120</v>
      </c>
      <c r="E23" s="13"/>
    </row>
    <row r="24" spans="2:5" x14ac:dyDescent="0.25">
      <c r="B24" s="1" t="s">
        <v>30</v>
      </c>
      <c r="C24" s="21"/>
      <c r="D24" s="21">
        <f>+C19*100%</f>
        <v>50000</v>
      </c>
      <c r="E24" s="13"/>
    </row>
    <row r="25" spans="2:5" x14ac:dyDescent="0.25">
      <c r="C25" s="21"/>
      <c r="D25" s="21"/>
      <c r="E25" s="13"/>
    </row>
    <row r="26" spans="2:5" x14ac:dyDescent="0.25">
      <c r="B26" s="1" t="s">
        <v>31</v>
      </c>
      <c r="C26" s="21">
        <f>+C19-C20</f>
        <v>49750</v>
      </c>
      <c r="D26" s="21">
        <f>-D22-D23-D24</f>
        <v>-53120</v>
      </c>
      <c r="E26" s="13"/>
    </row>
    <row r="27" spans="2:5" x14ac:dyDescent="0.25">
      <c r="C27" s="21"/>
      <c r="D27" s="21"/>
      <c r="E27" s="13"/>
    </row>
    <row r="28" spans="2:5" x14ac:dyDescent="0.25">
      <c r="B28" s="1" t="s">
        <v>32</v>
      </c>
      <c r="C28" s="21"/>
      <c r="D28" s="21"/>
      <c r="E28" s="13"/>
    </row>
    <row r="29" spans="2:5" x14ac:dyDescent="0.25">
      <c r="B29" s="1" t="s">
        <v>33</v>
      </c>
      <c r="C29" s="21"/>
      <c r="D29" s="21">
        <f>+D22*0.3</f>
        <v>900</v>
      </c>
      <c r="E29" s="13"/>
    </row>
    <row r="30" spans="2:5" x14ac:dyDescent="0.25">
      <c r="B30" s="1" t="s">
        <v>42</v>
      </c>
      <c r="C30" s="21"/>
      <c r="D30" s="21">
        <f>+D23*0.3</f>
        <v>36</v>
      </c>
      <c r="E30" s="13"/>
    </row>
    <row r="31" spans="2:5" x14ac:dyDescent="0.25">
      <c r="B31" s="1" t="s">
        <v>43</v>
      </c>
      <c r="C31" s="21"/>
      <c r="D31" s="21">
        <f>+C20*0.3</f>
        <v>75</v>
      </c>
      <c r="E31" s="13"/>
    </row>
    <row r="32" spans="2:5" x14ac:dyDescent="0.25">
      <c r="C32" s="21"/>
      <c r="D32" s="21"/>
      <c r="E32" s="13"/>
    </row>
    <row r="33" spans="1:5" x14ac:dyDescent="0.25">
      <c r="B33" s="1" t="s">
        <v>90</v>
      </c>
      <c r="C33" s="21">
        <f>+C26</f>
        <v>49750</v>
      </c>
      <c r="D33" s="21">
        <f>+D26+D29+D30+D31</f>
        <v>-52109</v>
      </c>
      <c r="E33" s="13"/>
    </row>
    <row r="34" spans="1:5" x14ac:dyDescent="0.25">
      <c r="C34" s="13"/>
      <c r="D34" s="13"/>
      <c r="E34" s="13"/>
    </row>
    <row r="35" spans="1:5" x14ac:dyDescent="0.25">
      <c r="C35" s="13"/>
      <c r="D35" s="13"/>
      <c r="E35" s="13"/>
    </row>
    <row r="37" spans="1:5" x14ac:dyDescent="0.25">
      <c r="B37" s="1" t="s">
        <v>34</v>
      </c>
      <c r="C37" s="14">
        <f>-D33/C33-1</f>
        <v>4.741708542713563E-2</v>
      </c>
    </row>
    <row r="41" spans="1:5" x14ac:dyDescent="0.25">
      <c r="A41" s="1" t="s">
        <v>55</v>
      </c>
    </row>
    <row r="43" spans="1:5" x14ac:dyDescent="0.25">
      <c r="A43" s="1" t="s">
        <v>76</v>
      </c>
    </row>
    <row r="45" spans="1:5" x14ac:dyDescent="0.25">
      <c r="A45" s="1" t="s">
        <v>27</v>
      </c>
      <c r="B45" s="2">
        <v>50000</v>
      </c>
    </row>
    <row r="46" spans="1:5" x14ac:dyDescent="0.25">
      <c r="A46" s="1" t="s">
        <v>45</v>
      </c>
      <c r="B46" s="10">
        <v>6.25E-2</v>
      </c>
    </row>
    <row r="47" spans="1:5" x14ac:dyDescent="0.25">
      <c r="A47" s="1" t="s">
        <v>35</v>
      </c>
      <c r="B47" s="4" t="s">
        <v>74</v>
      </c>
    </row>
    <row r="48" spans="1:5" x14ac:dyDescent="0.25">
      <c r="A48" s="1" t="s">
        <v>30</v>
      </c>
      <c r="B48" s="34" t="s">
        <v>77</v>
      </c>
    </row>
    <row r="49" spans="1:5" x14ac:dyDescent="0.25">
      <c r="A49" s="1" t="s">
        <v>36</v>
      </c>
      <c r="B49" s="7">
        <v>0.04</v>
      </c>
    </row>
    <row r="50" spans="1:5" x14ac:dyDescent="0.25">
      <c r="A50" s="1" t="s">
        <v>37</v>
      </c>
      <c r="B50" s="7">
        <v>5.0000000000000001E-3</v>
      </c>
    </row>
    <row r="53" spans="1:5" x14ac:dyDescent="0.25">
      <c r="B53" s="1" t="s">
        <v>28</v>
      </c>
    </row>
    <row r="55" spans="1:5" x14ac:dyDescent="0.25">
      <c r="B55" s="15"/>
      <c r="C55" s="19">
        <v>0</v>
      </c>
      <c r="D55" s="20">
        <v>0.5</v>
      </c>
      <c r="E55" s="20">
        <v>1</v>
      </c>
    </row>
    <row r="56" spans="1:5" x14ac:dyDescent="0.25">
      <c r="B56" s="16"/>
      <c r="C56" s="17"/>
      <c r="D56" s="18"/>
      <c r="E56" s="17"/>
    </row>
    <row r="57" spans="1:5" x14ac:dyDescent="0.25">
      <c r="B57" s="1" t="s">
        <v>38</v>
      </c>
      <c r="C57" s="21">
        <f>+B45</f>
        <v>50000</v>
      </c>
      <c r="D57" s="21"/>
      <c r="E57" s="21"/>
    </row>
    <row r="58" spans="1:5" x14ac:dyDescent="0.25">
      <c r="B58" s="1" t="s">
        <v>40</v>
      </c>
      <c r="C58" s="21">
        <f>+B45*B50</f>
        <v>250</v>
      </c>
      <c r="D58" s="21"/>
      <c r="E58" s="21"/>
    </row>
    <row r="59" spans="1:5" x14ac:dyDescent="0.25">
      <c r="B59" s="1" t="s">
        <v>39</v>
      </c>
      <c r="C59" s="21">
        <f>+C57</f>
        <v>50000</v>
      </c>
      <c r="D59" s="21">
        <f>+C59</f>
        <v>50000</v>
      </c>
      <c r="E59" s="21">
        <f>+D59-D62</f>
        <v>25000</v>
      </c>
    </row>
    <row r="60" spans="1:5" x14ac:dyDescent="0.25">
      <c r="B60" s="1" t="s">
        <v>29</v>
      </c>
      <c r="C60" s="21"/>
      <c r="D60" s="21">
        <f>+C57*B46/2</f>
        <v>1562.5</v>
      </c>
      <c r="E60" s="21">
        <f>+E59*B46/2</f>
        <v>781.25</v>
      </c>
    </row>
    <row r="61" spans="1:5" x14ac:dyDescent="0.25">
      <c r="B61" s="1" t="s">
        <v>41</v>
      </c>
      <c r="C61" s="21"/>
      <c r="D61" s="21">
        <f>+D60*B49</f>
        <v>62.5</v>
      </c>
      <c r="E61" s="21">
        <f>+E60*B49</f>
        <v>31.25</v>
      </c>
    </row>
    <row r="62" spans="1:5" x14ac:dyDescent="0.25">
      <c r="B62" s="1" t="s">
        <v>30</v>
      </c>
      <c r="C62" s="21"/>
      <c r="D62" s="21">
        <f>+C57*50%</f>
        <v>25000</v>
      </c>
      <c r="E62" s="21">
        <f>+E59</f>
        <v>25000</v>
      </c>
    </row>
    <row r="63" spans="1:5" x14ac:dyDescent="0.25">
      <c r="C63" s="21"/>
      <c r="D63" s="21"/>
      <c r="E63" s="21"/>
    </row>
    <row r="64" spans="1:5" x14ac:dyDescent="0.25">
      <c r="B64" s="1" t="s">
        <v>31</v>
      </c>
      <c r="C64" s="21">
        <f>+C57-C58</f>
        <v>49750</v>
      </c>
      <c r="D64" s="21">
        <f>-D60-D61-D62</f>
        <v>-26625</v>
      </c>
      <c r="E64" s="21">
        <f>-E60-E61-E62</f>
        <v>-25812.5</v>
      </c>
    </row>
    <row r="65" spans="1:5" x14ac:dyDescent="0.25">
      <c r="C65" s="21"/>
      <c r="D65" s="21"/>
      <c r="E65" s="21"/>
    </row>
    <row r="66" spans="1:5" x14ac:dyDescent="0.25">
      <c r="B66" s="1" t="s">
        <v>32</v>
      </c>
      <c r="C66" s="21"/>
      <c r="D66" s="21"/>
      <c r="E66" s="21"/>
    </row>
    <row r="67" spans="1:5" x14ac:dyDescent="0.25">
      <c r="B67" s="1" t="s">
        <v>33</v>
      </c>
      <c r="C67" s="21"/>
      <c r="D67" s="21"/>
      <c r="E67" s="21">
        <f>(E60+D60)*0.3</f>
        <v>703.125</v>
      </c>
    </row>
    <row r="68" spans="1:5" x14ac:dyDescent="0.25">
      <c r="B68" s="1" t="s">
        <v>42</v>
      </c>
      <c r="C68" s="21"/>
      <c r="D68" s="21"/>
      <c r="E68" s="21">
        <f>(E61+D61)*0.3</f>
        <v>28.125</v>
      </c>
    </row>
    <row r="69" spans="1:5" x14ac:dyDescent="0.25">
      <c r="B69" s="1" t="s">
        <v>43</v>
      </c>
      <c r="C69" s="21"/>
      <c r="D69" s="21"/>
      <c r="E69" s="21">
        <f>+C58*0.3</f>
        <v>75</v>
      </c>
    </row>
    <row r="70" spans="1:5" x14ac:dyDescent="0.25">
      <c r="C70" s="21"/>
      <c r="D70" s="21"/>
      <c r="E70" s="21"/>
    </row>
    <row r="71" spans="1:5" x14ac:dyDescent="0.25">
      <c r="B71" s="1" t="s">
        <v>90</v>
      </c>
      <c r="C71" s="21">
        <f>+C64</f>
        <v>49750</v>
      </c>
      <c r="D71" s="21">
        <f>+D64+D67+D68+D69</f>
        <v>-26625</v>
      </c>
      <c r="E71" s="21">
        <f>+E64+E67+E68+E69</f>
        <v>-25006.25</v>
      </c>
    </row>
    <row r="72" spans="1:5" x14ac:dyDescent="0.25">
      <c r="C72" s="21"/>
      <c r="D72" s="21"/>
      <c r="E72" s="21"/>
    </row>
    <row r="73" spans="1:5" x14ac:dyDescent="0.25">
      <c r="B73" s="1" t="s">
        <v>44</v>
      </c>
      <c r="C73" s="22">
        <v>5.1394252815384428E-2</v>
      </c>
      <c r="D73" s="21"/>
      <c r="E73" s="21"/>
    </row>
    <row r="74" spans="1:5" x14ac:dyDescent="0.25">
      <c r="C74" s="21"/>
      <c r="D74" s="21"/>
      <c r="E74" s="21"/>
    </row>
    <row r="75" spans="1:5" x14ac:dyDescent="0.25">
      <c r="B75" s="30">
        <v>0</v>
      </c>
      <c r="C75" s="21">
        <f>+C71</f>
        <v>49750</v>
      </c>
      <c r="D75" s="21">
        <f>+C75/(1+$C$73)^B75</f>
        <v>49750</v>
      </c>
      <c r="E75" s="21"/>
    </row>
    <row r="76" spans="1:5" x14ac:dyDescent="0.25">
      <c r="B76" s="30">
        <v>0.5</v>
      </c>
      <c r="C76" s="21">
        <f>+D71</f>
        <v>-26625</v>
      </c>
      <c r="D76" s="21">
        <f t="shared" ref="D76:D77" si="0">+C76/(1+$C$73)^B76</f>
        <v>-25966.105487292421</v>
      </c>
      <c r="E76" s="21"/>
    </row>
    <row r="77" spans="1:5" x14ac:dyDescent="0.25">
      <c r="B77" s="30">
        <v>1</v>
      </c>
      <c r="C77" s="21">
        <f>+E71</f>
        <v>-25006.25</v>
      </c>
      <c r="D77" s="21">
        <f t="shared" si="0"/>
        <v>-23783.894512490624</v>
      </c>
      <c r="E77" s="21"/>
    </row>
    <row r="78" spans="1:5" x14ac:dyDescent="0.25">
      <c r="B78" s="12"/>
      <c r="C78" s="21"/>
      <c r="D78" s="21"/>
      <c r="E78" s="21"/>
    </row>
    <row r="79" spans="1:5" x14ac:dyDescent="0.25">
      <c r="C79" s="21"/>
      <c r="D79" s="21">
        <f>+D75+D76+D77</f>
        <v>2.1695450413972139E-7</v>
      </c>
      <c r="E79" s="21"/>
    </row>
    <row r="80" spans="1:5" x14ac:dyDescent="0.25">
      <c r="A80" s="1" t="s">
        <v>80</v>
      </c>
    </row>
    <row r="81" spans="1:6" customFormat="1" x14ac:dyDescent="0.25"/>
    <row r="82" spans="1:6" x14ac:dyDescent="0.25">
      <c r="A82" s="1" t="s">
        <v>78</v>
      </c>
    </row>
    <row r="83" spans="1:6" x14ac:dyDescent="0.25">
      <c r="A83" s="1" t="s">
        <v>51</v>
      </c>
    </row>
    <row r="84" spans="1:6" ht="30.75" customHeight="1" x14ac:dyDescent="0.25">
      <c r="A84" s="35" t="s">
        <v>79</v>
      </c>
      <c r="B84" s="35"/>
      <c r="C84" s="35"/>
      <c r="D84" s="35"/>
      <c r="E84" s="35"/>
      <c r="F84" s="35"/>
    </row>
    <row r="87" spans="1:6" x14ac:dyDescent="0.25">
      <c r="B87" s="1" t="s">
        <v>44</v>
      </c>
      <c r="C87" s="31">
        <f>+C37</f>
        <v>4.741708542713563E-2</v>
      </c>
    </row>
    <row r="89" spans="1:6" x14ac:dyDescent="0.25">
      <c r="B89" s="13">
        <v>0</v>
      </c>
      <c r="C89" s="1">
        <f>+C71</f>
        <v>49750</v>
      </c>
      <c r="D89" s="1">
        <f>+C89/(1+$C$87)^B89</f>
        <v>49750</v>
      </c>
    </row>
    <row r="90" spans="1:6" x14ac:dyDescent="0.25">
      <c r="B90" s="13">
        <v>0.5</v>
      </c>
      <c r="C90" s="1">
        <f>+D71</f>
        <v>-26625</v>
      </c>
      <c r="D90" s="1">
        <f t="shared" ref="D90:D91" si="1">+C90/(1+$C$87)^B90</f>
        <v>-26015.356975295836</v>
      </c>
    </row>
    <row r="91" spans="1:6" x14ac:dyDescent="0.25">
      <c r="B91" s="13">
        <v>1</v>
      </c>
      <c r="C91" s="1">
        <f>+E71</f>
        <v>-25006.25</v>
      </c>
      <c r="D91" s="1">
        <f t="shared" si="1"/>
        <v>-23874.204791878565</v>
      </c>
    </row>
    <row r="92" spans="1:6" x14ac:dyDescent="0.25">
      <c r="B92" s="13"/>
    </row>
    <row r="93" spans="1:6" x14ac:dyDescent="0.25">
      <c r="D93" s="1">
        <f>+D89+D90+D91</f>
        <v>-139.5617671744003</v>
      </c>
    </row>
  </sheetData>
  <mergeCells count="1">
    <mergeCell ref="A84:F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Parte 1</vt:lpstr>
      <vt:lpstr>Parte 2 - Caso 1</vt:lpstr>
      <vt:lpstr>Parte 2 - Caso 2</vt:lpstr>
      <vt:lpstr>'Parte 2 - Caso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I700144</dc:creator>
  <cp:lastModifiedBy> </cp:lastModifiedBy>
  <cp:lastPrinted>2012-10-27T20:37:43Z</cp:lastPrinted>
  <dcterms:created xsi:type="dcterms:W3CDTF">2011-10-12T16:12:03Z</dcterms:created>
  <dcterms:modified xsi:type="dcterms:W3CDTF">2013-11-08T18:29:05Z</dcterms:modified>
</cp:coreProperties>
</file>