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1355" windowHeight="4875" activeTab="1"/>
  </bookViews>
  <sheets>
    <sheet name="Caso 1" sheetId="1" r:id="rId1"/>
    <sheet name="Caso 2" sheetId="2" r:id="rId2"/>
  </sheets>
  <definedNames>
    <definedName name="_xlnm.Print_Area" localSheetId="0">'Caso 1'!$B$2:$H$96</definedName>
    <definedName name="solver_adj" localSheetId="1" hidden="1">'Caso 2'!$C$73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'Caso 2'!$D$79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3</definedName>
  </definedNames>
  <calcPr calcId="145621"/>
</workbook>
</file>

<file path=xl/calcChain.xml><?xml version="1.0" encoding="utf-8"?>
<calcChain xmlns="http://schemas.openxmlformats.org/spreadsheetml/2006/main">
  <c r="F25" i="1" l="1"/>
  <c r="D90" i="2" l="1"/>
  <c r="D91" i="2"/>
  <c r="D89" i="2"/>
  <c r="C87" i="2"/>
  <c r="C91" i="2"/>
  <c r="C90" i="2"/>
  <c r="C89" i="2"/>
  <c r="D93" i="2" l="1"/>
  <c r="E60" i="2"/>
  <c r="D60" i="2"/>
  <c r="D62" i="2" l="1"/>
  <c r="E35" i="2"/>
  <c r="E27" i="2"/>
  <c r="E33" i="2"/>
  <c r="E24" i="2"/>
  <c r="E23" i="2"/>
  <c r="B9" i="2"/>
  <c r="C88" i="1"/>
  <c r="C81" i="1"/>
  <c r="C80" i="1"/>
  <c r="B74" i="1"/>
  <c r="E55" i="1"/>
  <c r="D55" i="1"/>
  <c r="C55" i="1"/>
  <c r="F24" i="1"/>
  <c r="D17" i="1" l="1"/>
  <c r="E17" i="1"/>
  <c r="C17" i="1"/>
  <c r="D16" i="1"/>
  <c r="E16" i="1"/>
  <c r="C16" i="1"/>
  <c r="C18" i="1"/>
  <c r="D10" i="1"/>
  <c r="E10" i="1"/>
  <c r="C10" i="1"/>
  <c r="D8" i="1"/>
  <c r="E8" i="1"/>
  <c r="C8" i="1"/>
  <c r="C9" i="1" s="1"/>
  <c r="D4" i="1"/>
  <c r="E4" i="1"/>
  <c r="C4" i="1"/>
  <c r="E30" i="2"/>
  <c r="C58" i="2"/>
  <c r="D69" i="2" s="1"/>
  <c r="C57" i="2"/>
  <c r="D67" i="2" s="1"/>
  <c r="C21" i="2"/>
  <c r="E31" i="2" s="1"/>
  <c r="C20" i="2"/>
  <c r="C22" i="2" s="1"/>
  <c r="C27" i="2" s="1"/>
  <c r="C38" i="1"/>
  <c r="C47" i="1" s="1"/>
  <c r="C48" i="1" s="1"/>
  <c r="E30" i="1"/>
  <c r="F30" i="1"/>
  <c r="C30" i="1"/>
  <c r="C32" i="1" s="1"/>
  <c r="D9" i="1"/>
  <c r="D11" i="1" s="1"/>
  <c r="E23" i="1" s="1"/>
  <c r="E26" i="1" s="1"/>
  <c r="E9" i="1"/>
  <c r="E32" i="1" l="1"/>
  <c r="C57" i="1" s="1"/>
  <c r="D57" i="1" s="1"/>
  <c r="C11" i="1"/>
  <c r="D23" i="1" s="1"/>
  <c r="D26" i="1" s="1"/>
  <c r="E18" i="1"/>
  <c r="D18" i="1"/>
  <c r="D29" i="1"/>
  <c r="D30" i="1" s="1"/>
  <c r="D32" i="1" s="1"/>
  <c r="C56" i="1" s="1"/>
  <c r="D56" i="1" s="1"/>
  <c r="E56" i="1" s="1"/>
  <c r="E57" i="1" s="1"/>
  <c r="E11" i="1"/>
  <c r="F23" i="1" s="1"/>
  <c r="F26" i="1" s="1"/>
  <c r="F32" i="1" s="1"/>
  <c r="C58" i="1" s="1"/>
  <c r="D58" i="1" s="1"/>
  <c r="E69" i="2"/>
  <c r="C64" i="2"/>
  <c r="D61" i="2"/>
  <c r="D68" i="2" s="1"/>
  <c r="C35" i="2"/>
  <c r="E32" i="2"/>
  <c r="C33" i="1"/>
  <c r="C59" i="2"/>
  <c r="D59" i="2" s="1"/>
  <c r="C71" i="2"/>
  <c r="C75" i="2" s="1"/>
  <c r="D75" i="2" s="1"/>
  <c r="E33" i="1" l="1"/>
  <c r="E58" i="1"/>
  <c r="F33" i="1"/>
  <c r="D33" i="1"/>
  <c r="D64" i="2"/>
  <c r="D71" i="2" s="1"/>
  <c r="C76" i="2" s="1"/>
  <c r="D76" i="2" s="1"/>
  <c r="C37" i="2"/>
  <c r="E59" i="2"/>
  <c r="C34" i="1" l="1"/>
  <c r="C71" i="1" s="1"/>
  <c r="E62" i="2"/>
  <c r="E67" i="2"/>
  <c r="E61" i="2"/>
  <c r="E68" i="2" s="1"/>
  <c r="E64" i="2" l="1"/>
  <c r="E71" i="2" s="1"/>
  <c r="C77" i="2" s="1"/>
  <c r="D77" i="2" s="1"/>
  <c r="D79" i="2" l="1"/>
</calcChain>
</file>

<file path=xl/sharedStrings.xml><?xml version="1.0" encoding="utf-8"?>
<sst xmlns="http://schemas.openxmlformats.org/spreadsheetml/2006/main" count="122" uniqueCount="104">
  <si>
    <t>DR previsional</t>
  </si>
  <si>
    <t xml:space="preserve">EBIT </t>
  </si>
  <si>
    <t>EBIT (1-t)</t>
  </si>
  <si>
    <t>Amortiz</t>
  </si>
  <si>
    <t>Cash-flow Operacional</t>
  </si>
  <si>
    <t>Working Capital</t>
  </si>
  <si>
    <t>Vendas</t>
  </si>
  <si>
    <t>Working capital</t>
  </si>
  <si>
    <t>Inv. WC</t>
  </si>
  <si>
    <t>Cash-Flow</t>
  </si>
  <si>
    <t>CFO</t>
  </si>
  <si>
    <t>VR WC</t>
  </si>
  <si>
    <t>VR Capex</t>
  </si>
  <si>
    <t>Total</t>
  </si>
  <si>
    <t>Capex</t>
  </si>
  <si>
    <t>Taxa de actualização</t>
  </si>
  <si>
    <t>BL</t>
  </si>
  <si>
    <t>BU</t>
  </si>
  <si>
    <t>BD</t>
  </si>
  <si>
    <t>Rf</t>
  </si>
  <si>
    <t>Rd</t>
  </si>
  <si>
    <t xml:space="preserve"> t</t>
  </si>
  <si>
    <t xml:space="preserve"> D/E</t>
  </si>
  <si>
    <t>CPI</t>
  </si>
  <si>
    <t>VAL</t>
  </si>
  <si>
    <t>CFA</t>
  </si>
  <si>
    <t>factor a multiplicar pelo VAL</t>
  </si>
  <si>
    <t>CF</t>
  </si>
  <si>
    <t>Dados</t>
  </si>
  <si>
    <t>Empréstimo obrigacionista</t>
  </si>
  <si>
    <t xml:space="preserve">Montante: </t>
  </si>
  <si>
    <t>Valor de emissão:</t>
  </si>
  <si>
    <t>Taxa de cupão</t>
  </si>
  <si>
    <t>Valor de reembolso</t>
  </si>
  <si>
    <t>Juros capitalizados semestralmente e pagos na data de vencimento</t>
  </si>
  <si>
    <t>Serviço da Dívida:</t>
  </si>
  <si>
    <t>Valor Nominal</t>
  </si>
  <si>
    <t>Comissão de montagem</t>
  </si>
  <si>
    <t>Paga no momento zero e custo no 1º ano</t>
  </si>
  <si>
    <t>Comissão</t>
  </si>
  <si>
    <t>Juros</t>
  </si>
  <si>
    <t>Amortização</t>
  </si>
  <si>
    <t>Out-Flows financeiros</t>
  </si>
  <si>
    <t>Beneficio fiscais</t>
  </si>
  <si>
    <t xml:space="preserve">   Juros</t>
  </si>
  <si>
    <t>Out flows financeiros e fiscais</t>
  </si>
  <si>
    <t>KA</t>
  </si>
  <si>
    <t>Empréstimo bancário</t>
  </si>
  <si>
    <t xml:space="preserve">Prazo </t>
  </si>
  <si>
    <t>2 anos</t>
  </si>
  <si>
    <t>Imposto de selo sobre juros</t>
  </si>
  <si>
    <t>Imposto de selo sobre abertura de crédito</t>
  </si>
  <si>
    <t>Valor do emprestimo</t>
  </si>
  <si>
    <t>paga no momento 0 mas custo dos anos 1 e 2</t>
  </si>
  <si>
    <t>Valor em divida</t>
  </si>
  <si>
    <t>ISSAC</t>
  </si>
  <si>
    <t>ISSJ</t>
  </si>
  <si>
    <t xml:space="preserve">   ISSJ</t>
  </si>
  <si>
    <t xml:space="preserve">    ISAC</t>
  </si>
  <si>
    <t>KA:</t>
  </si>
  <si>
    <t>VAL alinea a (5, +infinito)</t>
  </si>
  <si>
    <t>É necessário calcular do VAL com replicações infinitas no projecto da alinea a:</t>
  </si>
  <si>
    <t>Cálculo do VAL do projecto alternativo (que é perpetuo):</t>
  </si>
  <si>
    <t>Desconto de emissão: A empresa deixa de receber no ano 0 e é custo no ano 1</t>
  </si>
  <si>
    <t>Desconto de emissão</t>
  </si>
  <si>
    <t>Escolher o emprestimo bancário que apresenta o KA mais baixo</t>
  </si>
  <si>
    <t>Taxa de juro anual (juros pagos anualmente)</t>
  </si>
  <si>
    <t>RU nominal</t>
  </si>
  <si>
    <t>RU real</t>
  </si>
  <si>
    <t>EBITDA</t>
  </si>
  <si>
    <t>Margem EBITDA</t>
  </si>
  <si>
    <t xml:space="preserve">Rm </t>
  </si>
  <si>
    <t>Periodo de Recuperação do Investimento</t>
  </si>
  <si>
    <t>i</t>
  </si>
  <si>
    <t>CF act</t>
  </si>
  <si>
    <t>Som CF act</t>
  </si>
  <si>
    <t>PRI:</t>
  </si>
  <si>
    <t xml:space="preserve"> 3 - 2</t>
  </si>
  <si>
    <t xml:space="preserve"> 237,112 - (-55,642)</t>
  </si>
  <si>
    <t xml:space="preserve"> PRI - 2</t>
  </si>
  <si>
    <t xml:space="preserve"> 0 - (-55,642)</t>
  </si>
  <si>
    <t>Taxa de Actualização do Projecto Alternativo</t>
  </si>
  <si>
    <t>RU Nominal</t>
  </si>
  <si>
    <t xml:space="preserve"> ….</t>
  </si>
  <si>
    <t>Este valor é igual ao VAL com replicações infinitas</t>
  </si>
  <si>
    <t xml:space="preserve">Valor Nominal: </t>
  </si>
  <si>
    <t>Desconto de reembolso: A empresa desixa de pagar no ano 1, mas é proveito em 1 e tem prejuizo fiscal</t>
  </si>
  <si>
    <t>Impactos Fiscais</t>
  </si>
  <si>
    <t xml:space="preserve">   B. fiscal sobre Juros</t>
  </si>
  <si>
    <t xml:space="preserve">   B. fiscal sobre Comissões</t>
  </si>
  <si>
    <t xml:space="preserve">   P. fiscal sobre Prémio de reembolso</t>
  </si>
  <si>
    <t xml:space="preserve">   B. fiscal sobre desconto de emissão</t>
  </si>
  <si>
    <t>40% 1º ano e 60% 2º ano</t>
  </si>
  <si>
    <t xml:space="preserve">Em alternativa poderá utilizar-se o KA do emprestimo obrigaccionista para verificar se o Valor actual dos out-flows financeiros e fiscais é maior ou menor </t>
  </si>
  <si>
    <t>que o valor do financiamento no momento zero descontado dos encargos deste periodo.</t>
  </si>
  <si>
    <t>Como o valor é maior que zero significa que Valor actual dos outflows financeiros e fiscais do emprestimo é menor que valor do emprestimo deduzido de ISSAC,</t>
  </si>
  <si>
    <t>logo KA do emprestimo é menor que KA das obrigações.</t>
  </si>
  <si>
    <t>Caso 1 a)</t>
  </si>
  <si>
    <t>Caso 1 b)</t>
  </si>
  <si>
    <t>Caso 1 c)</t>
  </si>
  <si>
    <t>Escolher o projecto  da alinea a) pois este tem um VAL com replicações infinitas maior</t>
  </si>
  <si>
    <t>Caso 2 b)</t>
  </si>
  <si>
    <t>Caso 2 a)</t>
  </si>
  <si>
    <t xml:space="preserve">PRI = 2.2 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</si>
</sst>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#,##0_ ;\-#,##0\ "/>
    <numFmt numFmtId="168" formatCode="#,##0.0_ ;\-#,##0.0\ "/>
    <numFmt numFmtId="169" formatCode="0.0%"/>
    <numFmt numFmtId="170" formatCode="_-* #,##0.000\ _€_-;\-* #,##0.000\ _€_-;_-* &quot;-&quot;??\ _€_-;_-@_-"/>
    <numFmt numFmtId="171" formatCode="_-* #,##0.0000\ _€_-;\-* #,##0.0000\ _€_-;_-* &quot;-&quot;??\ _€_-;_-@_-"/>
    <numFmt numFmtId="172" formatCode="0.000%"/>
    <numFmt numFmtId="173" formatCode="0.0000%"/>
    <numFmt numFmtId="174" formatCode="#,##0.0"/>
    <numFmt numFmtId="175" formatCode="0.00000%"/>
    <numFmt numFmtId="176" formatCode="0.000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Alignment="1">
      <alignment horizontal="right"/>
    </xf>
    <xf numFmtId="166" fontId="0" fillId="0" borderId="1" xfId="1" applyNumberFormat="1" applyFont="1" applyBorder="1" applyAlignment="1">
      <alignment horizontal="right"/>
    </xf>
    <xf numFmtId="9" fontId="0" fillId="0" borderId="0" xfId="2" applyFont="1" applyAlignment="1">
      <alignment horizontal="right"/>
    </xf>
    <xf numFmtId="168" fontId="0" fillId="0" borderId="0" xfId="1" applyNumberFormat="1" applyFont="1" applyAlignment="1">
      <alignment horizontal="right"/>
    </xf>
    <xf numFmtId="167" fontId="0" fillId="0" borderId="1" xfId="1" applyNumberFormat="1" applyFont="1" applyBorder="1" applyAlignment="1">
      <alignment horizontal="right"/>
    </xf>
    <xf numFmtId="169" fontId="0" fillId="0" borderId="0" xfId="2" applyNumberFormat="1" applyFont="1" applyAlignment="1">
      <alignment horizontal="right"/>
    </xf>
    <xf numFmtId="170" fontId="0" fillId="0" borderId="0" xfId="1" applyNumberFormat="1" applyFont="1" applyAlignment="1">
      <alignment horizontal="right"/>
    </xf>
    <xf numFmtId="171" fontId="0" fillId="0" borderId="0" xfId="1" applyNumberFormat="1" applyFont="1" applyAlignment="1">
      <alignment horizontal="right"/>
    </xf>
    <xf numFmtId="10" fontId="0" fillId="0" borderId="0" xfId="2" applyNumberFormat="1" applyFont="1" applyAlignment="1">
      <alignment horizontal="right"/>
    </xf>
    <xf numFmtId="172" fontId="0" fillId="0" borderId="0" xfId="2" applyNumberFormat="1" applyFont="1" applyAlignment="1">
      <alignment horizontal="right"/>
    </xf>
    <xf numFmtId="166" fontId="0" fillId="0" borderId="0" xfId="1" applyNumberFormat="1" applyFont="1"/>
    <xf numFmtId="9" fontId="0" fillId="0" borderId="0" xfId="2" applyFont="1"/>
    <xf numFmtId="169" fontId="0" fillId="0" borderId="0" xfId="2" applyNumberFormat="1" applyFont="1"/>
    <xf numFmtId="168" fontId="0" fillId="0" borderId="0" xfId="1" applyNumberFormat="1" applyFont="1"/>
    <xf numFmtId="173" fontId="0" fillId="0" borderId="0" xfId="2" applyNumberFormat="1" applyFont="1"/>
    <xf numFmtId="165" fontId="0" fillId="0" borderId="1" xfId="1" applyNumberFormat="1" applyFont="1" applyBorder="1"/>
    <xf numFmtId="165" fontId="0" fillId="0" borderId="0" xfId="1" applyNumberFormat="1" applyFont="1" applyBorder="1"/>
    <xf numFmtId="167" fontId="0" fillId="0" borderId="0" xfId="1" applyNumberFormat="1" applyFont="1" applyBorder="1"/>
    <xf numFmtId="168" fontId="0" fillId="0" borderId="0" xfId="1" applyNumberFormat="1" applyFont="1" applyBorder="1"/>
    <xf numFmtId="165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174" fontId="0" fillId="0" borderId="0" xfId="1" applyNumberFormat="1" applyFont="1"/>
    <xf numFmtId="175" fontId="0" fillId="0" borderId="0" xfId="2" applyNumberFormat="1" applyFont="1"/>
    <xf numFmtId="166" fontId="0" fillId="0" borderId="0" xfId="1" applyNumberFormat="1" applyFont="1" applyBorder="1" applyAlignment="1">
      <alignment horizontal="right"/>
    </xf>
    <xf numFmtId="9" fontId="0" fillId="0" borderId="0" xfId="2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168" fontId="0" fillId="0" borderId="0" xfId="1" applyNumberFormat="1" applyFont="1" applyAlignment="1"/>
    <xf numFmtId="176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showGridLines="0" topLeftCell="A80" workbookViewId="0">
      <selection activeCell="B90" sqref="B90"/>
    </sheetView>
  </sheetViews>
  <sheetFormatPr defaultRowHeight="15" x14ac:dyDescent="0.25"/>
  <cols>
    <col min="1" max="1" width="9.140625" style="1"/>
    <col min="2" max="2" width="23.5703125" style="1" customWidth="1"/>
    <col min="3" max="8" width="12.7109375" style="2" customWidth="1"/>
    <col min="9" max="16384" width="9.140625" style="1"/>
  </cols>
  <sheetData>
    <row r="1" spans="1:7" x14ac:dyDescent="0.25">
      <c r="A1" s="1" t="s">
        <v>97</v>
      </c>
    </row>
    <row r="2" spans="1:7" x14ac:dyDescent="0.25">
      <c r="B2" s="1" t="s">
        <v>0</v>
      </c>
    </row>
    <row r="3" spans="1:7" x14ac:dyDescent="0.25">
      <c r="C3" s="3">
        <v>1</v>
      </c>
      <c r="D3" s="3">
        <v>2</v>
      </c>
      <c r="E3" s="3">
        <v>3</v>
      </c>
      <c r="F3" s="26"/>
      <c r="G3" s="26"/>
    </row>
    <row r="4" spans="1:7" x14ac:dyDescent="0.25">
      <c r="B4" s="1" t="s">
        <v>6</v>
      </c>
      <c r="C4" s="26">
        <f>+C5/C6</f>
        <v>1000000</v>
      </c>
      <c r="D4" s="26">
        <f t="shared" ref="D4:E4" si="0">+D5/D6</f>
        <v>1000000</v>
      </c>
      <c r="E4" s="26">
        <f t="shared" si="0"/>
        <v>1000000</v>
      </c>
      <c r="F4" s="26"/>
      <c r="G4" s="26"/>
    </row>
    <row r="5" spans="1:7" x14ac:dyDescent="0.25">
      <c r="B5" s="1" t="s">
        <v>69</v>
      </c>
      <c r="C5" s="26">
        <v>300000</v>
      </c>
      <c r="D5" s="26">
        <v>300000</v>
      </c>
      <c r="E5" s="26">
        <v>300000</v>
      </c>
      <c r="F5" s="26"/>
      <c r="G5" s="26"/>
    </row>
    <row r="6" spans="1:7" x14ac:dyDescent="0.25">
      <c r="B6" s="1" t="s">
        <v>70</v>
      </c>
      <c r="C6" s="27">
        <v>0.3</v>
      </c>
      <c r="D6" s="27">
        <v>0.3</v>
      </c>
      <c r="E6" s="27">
        <v>0.3</v>
      </c>
      <c r="F6" s="26"/>
      <c r="G6" s="26"/>
    </row>
    <row r="7" spans="1:7" x14ac:dyDescent="0.25">
      <c r="B7" s="1" t="s">
        <v>3</v>
      </c>
      <c r="C7" s="26">
        <v>150000</v>
      </c>
      <c r="D7" s="26">
        <v>150000</v>
      </c>
      <c r="E7" s="26">
        <v>150000</v>
      </c>
      <c r="F7" s="26"/>
      <c r="G7" s="26"/>
    </row>
    <row r="8" spans="1:7" x14ac:dyDescent="0.25">
      <c r="B8" s="1" t="s">
        <v>1</v>
      </c>
      <c r="C8" s="2">
        <f>+C5-C7</f>
        <v>150000</v>
      </c>
      <c r="D8" s="2">
        <f t="shared" ref="D8:E8" si="1">+D5-D7</f>
        <v>150000</v>
      </c>
      <c r="E8" s="2">
        <f t="shared" si="1"/>
        <v>150000</v>
      </c>
    </row>
    <row r="9" spans="1:7" x14ac:dyDescent="0.25">
      <c r="B9" s="1" t="s">
        <v>2</v>
      </c>
      <c r="C9" s="2">
        <f>+C8*0.7</f>
        <v>105000</v>
      </c>
      <c r="D9" s="2">
        <f t="shared" ref="D9:E9" si="2">+D8*0.7</f>
        <v>105000</v>
      </c>
      <c r="E9" s="2">
        <f t="shared" si="2"/>
        <v>105000</v>
      </c>
    </row>
    <row r="10" spans="1:7" x14ac:dyDescent="0.25">
      <c r="B10" s="1" t="s">
        <v>3</v>
      </c>
      <c r="C10" s="2">
        <f>+C7</f>
        <v>150000</v>
      </c>
      <c r="D10" s="2">
        <f t="shared" ref="D10:E10" si="3">+D7</f>
        <v>150000</v>
      </c>
      <c r="E10" s="2">
        <f t="shared" si="3"/>
        <v>150000</v>
      </c>
    </row>
    <row r="11" spans="1:7" x14ac:dyDescent="0.25">
      <c r="B11" s="1" t="s">
        <v>4</v>
      </c>
      <c r="C11" s="2">
        <f>+C9+C10</f>
        <v>255000</v>
      </c>
      <c r="D11" s="2">
        <f t="shared" ref="D11:E11" si="4">+D9+D10</f>
        <v>255000</v>
      </c>
      <c r="E11" s="2">
        <f t="shared" si="4"/>
        <v>255000</v>
      </c>
    </row>
    <row r="13" spans="1:7" x14ac:dyDescent="0.25">
      <c r="B13" s="1" t="s">
        <v>5</v>
      </c>
    </row>
    <row r="14" spans="1:7" x14ac:dyDescent="0.25">
      <c r="C14" s="3">
        <v>1</v>
      </c>
      <c r="D14" s="3">
        <v>2</v>
      </c>
      <c r="E14" s="3">
        <v>3</v>
      </c>
      <c r="F14" s="26"/>
      <c r="G14" s="26"/>
    </row>
    <row r="15" spans="1:7" x14ac:dyDescent="0.25">
      <c r="B15" s="1" t="s">
        <v>70</v>
      </c>
      <c r="C15" s="4">
        <v>0.3</v>
      </c>
      <c r="D15" s="4">
        <v>0.3</v>
      </c>
      <c r="E15" s="4">
        <v>0.3</v>
      </c>
      <c r="F15" s="27"/>
      <c r="G15" s="27"/>
    </row>
    <row r="16" spans="1:7" x14ac:dyDescent="0.25">
      <c r="B16" s="1" t="s">
        <v>6</v>
      </c>
      <c r="C16" s="28">
        <f>+C5/C15</f>
        <v>1000000</v>
      </c>
      <c r="D16" s="28">
        <f t="shared" ref="D16:E16" si="5">+D5/D15</f>
        <v>1000000</v>
      </c>
      <c r="E16" s="28">
        <f t="shared" si="5"/>
        <v>1000000</v>
      </c>
    </row>
    <row r="17" spans="2:9" x14ac:dyDescent="0.25">
      <c r="B17" s="1" t="s">
        <v>7</v>
      </c>
      <c r="C17" s="2">
        <f>+C16*0.05</f>
        <v>50000</v>
      </c>
      <c r="D17" s="2">
        <f t="shared" ref="D17:E17" si="6">+D16*0.05</f>
        <v>50000</v>
      </c>
      <c r="E17" s="2">
        <f t="shared" si="6"/>
        <v>50000</v>
      </c>
    </row>
    <row r="18" spans="2:9" x14ac:dyDescent="0.25">
      <c r="B18" s="1" t="s">
        <v>8</v>
      </c>
      <c r="C18" s="2">
        <f>+C17</f>
        <v>50000</v>
      </c>
      <c r="D18" s="5">
        <f>+D17-C18</f>
        <v>0</v>
      </c>
      <c r="E18" s="5">
        <f>+E17-D17</f>
        <v>0</v>
      </c>
      <c r="F18" s="5"/>
      <c r="G18" s="5"/>
    </row>
    <row r="21" spans="2:9" x14ac:dyDescent="0.25">
      <c r="B21" s="1" t="s">
        <v>9</v>
      </c>
    </row>
    <row r="22" spans="2:9" x14ac:dyDescent="0.25">
      <c r="C22" s="6">
        <v>0</v>
      </c>
      <c r="D22" s="3">
        <v>1</v>
      </c>
      <c r="E22" s="3">
        <v>2</v>
      </c>
      <c r="F22" s="3">
        <v>3</v>
      </c>
      <c r="G22" s="26"/>
      <c r="H22" s="26"/>
      <c r="I22" s="18"/>
    </row>
    <row r="23" spans="2:9" x14ac:dyDescent="0.25">
      <c r="B23" s="1" t="s">
        <v>10</v>
      </c>
      <c r="D23" s="2">
        <f>+C11</f>
        <v>255000</v>
      </c>
      <c r="E23" s="2">
        <f t="shared" ref="E23:F23" si="7">+D11</f>
        <v>255000</v>
      </c>
      <c r="F23" s="2">
        <f t="shared" si="7"/>
        <v>255000</v>
      </c>
      <c r="G23" s="29"/>
      <c r="H23" s="29"/>
      <c r="I23" s="18"/>
    </row>
    <row r="24" spans="2:9" x14ac:dyDescent="0.25">
      <c r="B24" s="1" t="s">
        <v>11</v>
      </c>
      <c r="F24" s="2">
        <f>+C18</f>
        <v>50000</v>
      </c>
      <c r="G24" s="29"/>
      <c r="H24" s="29"/>
      <c r="I24" s="18"/>
    </row>
    <row r="25" spans="2:9" x14ac:dyDescent="0.25">
      <c r="B25" s="1" t="s">
        <v>12</v>
      </c>
      <c r="F25" s="2">
        <f>450000*0.2*0.7</f>
        <v>62999.999999999993</v>
      </c>
      <c r="G25" s="29"/>
      <c r="H25" s="29"/>
      <c r="I25" s="18"/>
    </row>
    <row r="26" spans="2:9" x14ac:dyDescent="0.25">
      <c r="B26" s="1" t="s">
        <v>13</v>
      </c>
      <c r="D26" s="2">
        <f>+D23+D24+D25</f>
        <v>255000</v>
      </c>
      <c r="E26" s="2">
        <f t="shared" ref="E26:F26" si="8">+E23+E24+E25</f>
        <v>255000</v>
      </c>
      <c r="F26" s="2">
        <f t="shared" si="8"/>
        <v>368000</v>
      </c>
      <c r="G26" s="29"/>
      <c r="H26" s="29"/>
      <c r="I26" s="18"/>
    </row>
    <row r="27" spans="2:9" x14ac:dyDescent="0.25">
      <c r="G27" s="29"/>
      <c r="H27" s="29"/>
      <c r="I27" s="18"/>
    </row>
    <row r="28" spans="2:9" x14ac:dyDescent="0.25">
      <c r="B28" s="1" t="s">
        <v>14</v>
      </c>
      <c r="C28" s="2">
        <v>450000</v>
      </c>
      <c r="G28" s="29"/>
      <c r="H28" s="29"/>
      <c r="I28" s="18"/>
    </row>
    <row r="29" spans="2:9" x14ac:dyDescent="0.25">
      <c r="B29" s="1" t="s">
        <v>8</v>
      </c>
      <c r="D29" s="2">
        <f>+C18</f>
        <v>50000</v>
      </c>
      <c r="G29" s="29"/>
      <c r="H29" s="29"/>
      <c r="I29" s="18"/>
    </row>
    <row r="30" spans="2:9" x14ac:dyDescent="0.25">
      <c r="B30" s="1" t="s">
        <v>13</v>
      </c>
      <c r="C30" s="2">
        <f>+C29+C28</f>
        <v>450000</v>
      </c>
      <c r="D30" s="2">
        <f t="shared" ref="D30:F30" si="9">+D29+D28</f>
        <v>50000</v>
      </c>
      <c r="E30" s="2">
        <f t="shared" si="9"/>
        <v>0</v>
      </c>
      <c r="F30" s="2">
        <f t="shared" si="9"/>
        <v>0</v>
      </c>
      <c r="G30" s="29"/>
      <c r="H30" s="29"/>
      <c r="I30" s="18"/>
    </row>
    <row r="31" spans="2:9" x14ac:dyDescent="0.25">
      <c r="G31" s="29"/>
      <c r="H31" s="29"/>
      <c r="I31" s="18"/>
    </row>
    <row r="32" spans="2:9" x14ac:dyDescent="0.25">
      <c r="B32" s="1" t="s">
        <v>9</v>
      </c>
      <c r="C32" s="2">
        <f>+C26-C30</f>
        <v>-450000</v>
      </c>
      <c r="D32" s="2">
        <f t="shared" ref="D32:F32" si="10">+D26-D30</f>
        <v>205000</v>
      </c>
      <c r="E32" s="2">
        <f t="shared" si="10"/>
        <v>255000</v>
      </c>
      <c r="F32" s="2">
        <f t="shared" si="10"/>
        <v>368000</v>
      </c>
      <c r="G32" s="29"/>
      <c r="H32" s="29"/>
      <c r="I32" s="18"/>
    </row>
    <row r="33" spans="2:9" x14ac:dyDescent="0.25">
      <c r="B33" s="1" t="s">
        <v>25</v>
      </c>
      <c r="C33" s="2">
        <f>+C32/(1+$C$48)^C22</f>
        <v>-450000</v>
      </c>
      <c r="D33" s="2">
        <f t="shared" ref="D33:F33" si="11">+D32/(1+$C$48)^D22</f>
        <v>185519.2843866171</v>
      </c>
      <c r="E33" s="2">
        <f t="shared" si="11"/>
        <v>208838.50670380107</v>
      </c>
      <c r="F33" s="2">
        <f t="shared" si="11"/>
        <v>272742.87663911394</v>
      </c>
      <c r="G33" s="29"/>
      <c r="H33" s="29"/>
      <c r="I33" s="18"/>
    </row>
    <row r="34" spans="2:9" x14ac:dyDescent="0.25">
      <c r="B34" s="1" t="s">
        <v>24</v>
      </c>
      <c r="C34" s="2">
        <f>+C33+D33+E33+F33+G33+H33</f>
        <v>217100.66772953214</v>
      </c>
    </row>
    <row r="37" spans="2:9" x14ac:dyDescent="0.25">
      <c r="B37" s="1" t="s">
        <v>15</v>
      </c>
    </row>
    <row r="38" spans="2:9" x14ac:dyDescent="0.25">
      <c r="B38" s="1" t="s">
        <v>17</v>
      </c>
      <c r="C38" s="9">
        <f>(C39+C45*(1-C44)*C40)/(+C45*(1-C44)+1)</f>
        <v>1.3157894736842106</v>
      </c>
    </row>
    <row r="39" spans="2:9" x14ac:dyDescent="0.25">
      <c r="B39" s="1" t="s">
        <v>16</v>
      </c>
      <c r="C39" s="2">
        <v>1.5</v>
      </c>
    </row>
    <row r="40" spans="2:9" x14ac:dyDescent="0.25">
      <c r="B40" s="1" t="s">
        <v>18</v>
      </c>
      <c r="C40" s="2">
        <v>0</v>
      </c>
    </row>
    <row r="41" spans="2:9" x14ac:dyDescent="0.25">
      <c r="B41" s="1" t="s">
        <v>19</v>
      </c>
      <c r="C41" s="7">
        <v>0.08</v>
      </c>
    </row>
    <row r="42" spans="2:9" x14ac:dyDescent="0.25">
      <c r="B42" s="1" t="s">
        <v>71</v>
      </c>
      <c r="C42" s="7">
        <v>0.12</v>
      </c>
    </row>
    <row r="43" spans="2:9" x14ac:dyDescent="0.25">
      <c r="B43" s="1" t="s">
        <v>20</v>
      </c>
      <c r="C43" s="7">
        <v>0</v>
      </c>
    </row>
    <row r="44" spans="2:9" x14ac:dyDescent="0.25">
      <c r="B44" s="1" t="s">
        <v>21</v>
      </c>
      <c r="C44" s="4">
        <v>0.3</v>
      </c>
    </row>
    <row r="45" spans="2:9" x14ac:dyDescent="0.25">
      <c r="B45" s="1" t="s">
        <v>22</v>
      </c>
      <c r="C45" s="2">
        <v>0.2</v>
      </c>
    </row>
    <row r="46" spans="2:9" x14ac:dyDescent="0.25">
      <c r="B46" s="1" t="s">
        <v>23</v>
      </c>
      <c r="C46" s="7">
        <v>2.5000000000000001E-2</v>
      </c>
    </row>
    <row r="47" spans="2:9" x14ac:dyDescent="0.25">
      <c r="B47" s="1" t="s">
        <v>67</v>
      </c>
      <c r="C47" s="10">
        <f>+C41+C38*(C42-C41)</f>
        <v>0.13263157894736843</v>
      </c>
    </row>
    <row r="48" spans="2:9" x14ac:dyDescent="0.25">
      <c r="B48" s="1" t="s">
        <v>68</v>
      </c>
      <c r="C48" s="11">
        <f>+(1+C47)/(1+C46)-1</f>
        <v>0.10500641848523751</v>
      </c>
    </row>
    <row r="50" spans="1:8" x14ac:dyDescent="0.25">
      <c r="A50" s="1" t="s">
        <v>98</v>
      </c>
    </row>
    <row r="51" spans="1:8" x14ac:dyDescent="0.25">
      <c r="B51" s="1" t="s">
        <v>72</v>
      </c>
    </row>
    <row r="53" spans="1:8" x14ac:dyDescent="0.25">
      <c r="C53" s="30"/>
      <c r="D53" s="26"/>
      <c r="E53" s="26"/>
      <c r="F53" s="26"/>
      <c r="G53" s="26"/>
      <c r="H53" s="26"/>
    </row>
    <row r="54" spans="1:8" x14ac:dyDescent="0.25">
      <c r="B54" s="1" t="s">
        <v>73</v>
      </c>
      <c r="C54" s="2" t="s">
        <v>27</v>
      </c>
      <c r="D54" s="2" t="s">
        <v>74</v>
      </c>
      <c r="E54" s="2" t="s">
        <v>75</v>
      </c>
    </row>
    <row r="55" spans="1:8" x14ac:dyDescent="0.25">
      <c r="B55" s="1">
        <v>0</v>
      </c>
      <c r="C55" s="31">
        <f>+C32</f>
        <v>-450000</v>
      </c>
      <c r="D55" s="31">
        <f>+C55/(1+$C$48)^B55</f>
        <v>-450000</v>
      </c>
      <c r="E55" s="31">
        <f>+D55</f>
        <v>-450000</v>
      </c>
    </row>
    <row r="56" spans="1:8" x14ac:dyDescent="0.25">
      <c r="B56" s="1">
        <v>1</v>
      </c>
      <c r="C56" s="31">
        <f>+D32</f>
        <v>205000</v>
      </c>
      <c r="D56" s="31">
        <f t="shared" ref="D56:D58" si="12">+C56/(1+$C$48)^B56</f>
        <v>185519.2843866171</v>
      </c>
      <c r="E56" s="31">
        <f>+E55+D56</f>
        <v>-264480.71561338287</v>
      </c>
    </row>
    <row r="57" spans="1:8" x14ac:dyDescent="0.25">
      <c r="B57" s="1">
        <v>2</v>
      </c>
      <c r="C57" s="31">
        <f>+E32</f>
        <v>255000</v>
      </c>
      <c r="D57" s="31">
        <f t="shared" si="12"/>
        <v>208838.50670380107</v>
      </c>
      <c r="E57" s="31">
        <f t="shared" ref="E57:E58" si="13">+E56+D57</f>
        <v>-55642.208909581794</v>
      </c>
    </row>
    <row r="58" spans="1:8" x14ac:dyDescent="0.25">
      <c r="B58" s="1">
        <v>3</v>
      </c>
      <c r="C58" s="31">
        <f>+F32</f>
        <v>368000</v>
      </c>
      <c r="D58" s="31">
        <f t="shared" si="12"/>
        <v>272742.87663911394</v>
      </c>
      <c r="E58" s="31">
        <f t="shared" si="13"/>
        <v>217100.66772953214</v>
      </c>
    </row>
    <row r="60" spans="1:8" x14ac:dyDescent="0.25">
      <c r="B60" s="1" t="s">
        <v>76</v>
      </c>
      <c r="C60" s="32" t="s">
        <v>77</v>
      </c>
      <c r="D60" s="33" t="s">
        <v>78</v>
      </c>
    </row>
    <row r="61" spans="1:8" x14ac:dyDescent="0.25">
      <c r="C61" s="32" t="s">
        <v>79</v>
      </c>
      <c r="D61" s="33" t="s">
        <v>80</v>
      </c>
    </row>
    <row r="62" spans="1:8" x14ac:dyDescent="0.25">
      <c r="C62" s="33" t="s">
        <v>103</v>
      </c>
    </row>
    <row r="65" spans="1:3" x14ac:dyDescent="0.25">
      <c r="C65" s="8"/>
    </row>
    <row r="66" spans="1:3" x14ac:dyDescent="0.25">
      <c r="A66" s="1" t="s">
        <v>99</v>
      </c>
    </row>
    <row r="69" spans="1:3" x14ac:dyDescent="0.25">
      <c r="B69" s="1" t="s">
        <v>61</v>
      </c>
    </row>
    <row r="71" spans="1:3" x14ac:dyDescent="0.25">
      <c r="B71" s="1" t="s">
        <v>60</v>
      </c>
      <c r="C71" s="2">
        <f>+C34*B74</f>
        <v>838709.40991771605</v>
      </c>
    </row>
    <row r="73" spans="1:3" x14ac:dyDescent="0.25">
      <c r="B73" s="1" t="s">
        <v>26</v>
      </c>
    </row>
    <row r="74" spans="1:3" x14ac:dyDescent="0.25">
      <c r="B74" s="1">
        <f>((1+C48)^3)/((1+C48)^3-1)</f>
        <v>3.8632281452150812</v>
      </c>
    </row>
    <row r="76" spans="1:3" x14ac:dyDescent="0.25">
      <c r="B76" s="1" t="s">
        <v>62</v>
      </c>
    </row>
    <row r="78" spans="1:3" x14ac:dyDescent="0.25">
      <c r="B78" s="1" t="s">
        <v>81</v>
      </c>
      <c r="C78" s="4"/>
    </row>
    <row r="79" spans="1:3" x14ac:dyDescent="0.25">
      <c r="B79" s="1" t="s">
        <v>17</v>
      </c>
      <c r="C79" s="8">
        <v>0.8</v>
      </c>
    </row>
    <row r="80" spans="1:3" x14ac:dyDescent="0.25">
      <c r="B80" s="1" t="s">
        <v>82</v>
      </c>
      <c r="C80" s="4">
        <f>+C79*(C42-C41)+C41</f>
        <v>0.11199999999999999</v>
      </c>
    </row>
    <row r="81" spans="2:9" x14ac:dyDescent="0.25">
      <c r="B81" s="1" t="s">
        <v>68</v>
      </c>
      <c r="C81" s="11">
        <f>+(1+C80)/(1+C46)-1</f>
        <v>8.4878048780488102E-2</v>
      </c>
    </row>
    <row r="83" spans="2:9" x14ac:dyDescent="0.25">
      <c r="C83" s="4"/>
    </row>
    <row r="84" spans="2:9" x14ac:dyDescent="0.25">
      <c r="B84" s="1" t="s">
        <v>9</v>
      </c>
    </row>
    <row r="85" spans="2:9" x14ac:dyDescent="0.25">
      <c r="C85" s="6">
        <v>0</v>
      </c>
      <c r="D85" s="3">
        <v>1</v>
      </c>
      <c r="E85" s="3">
        <v>2</v>
      </c>
      <c r="F85" s="3">
        <v>3</v>
      </c>
      <c r="G85" s="3"/>
      <c r="H85" s="26"/>
    </row>
    <row r="86" spans="2:9" x14ac:dyDescent="0.25">
      <c r="B86" s="1" t="s">
        <v>9</v>
      </c>
      <c r="C86" s="2">
        <v>-150000</v>
      </c>
      <c r="D86" s="2">
        <v>50000</v>
      </c>
      <c r="E86" s="2">
        <v>50000</v>
      </c>
      <c r="F86" s="2">
        <v>50000</v>
      </c>
      <c r="G86" s="2" t="s">
        <v>83</v>
      </c>
    </row>
    <row r="88" spans="2:9" x14ac:dyDescent="0.25">
      <c r="B88" s="1" t="s">
        <v>24</v>
      </c>
      <c r="C88" s="2">
        <f>+C86+(D86/C81)</f>
        <v>439080.45977011288</v>
      </c>
      <c r="D88" s="33" t="s">
        <v>84</v>
      </c>
    </row>
    <row r="90" spans="2:9" x14ac:dyDescent="0.25">
      <c r="B90" s="18"/>
      <c r="C90" s="30"/>
      <c r="D90" s="26"/>
      <c r="E90" s="26"/>
      <c r="F90" s="26"/>
      <c r="G90" s="26"/>
      <c r="H90" s="26"/>
      <c r="I90" s="18"/>
    </row>
    <row r="91" spans="2:9" x14ac:dyDescent="0.25">
      <c r="B91" s="18"/>
      <c r="C91" s="29"/>
      <c r="D91" s="29"/>
      <c r="E91" s="29"/>
      <c r="F91" s="29"/>
      <c r="G91" s="29"/>
      <c r="H91" s="29"/>
      <c r="I91" s="18"/>
    </row>
    <row r="92" spans="2:9" x14ac:dyDescent="0.25">
      <c r="B92" s="18"/>
      <c r="C92" s="29"/>
      <c r="D92" s="29"/>
      <c r="E92" s="29"/>
      <c r="F92" s="29"/>
      <c r="G92" s="29"/>
      <c r="H92" s="29"/>
      <c r="I92" s="18"/>
    </row>
    <row r="93" spans="2:9" x14ac:dyDescent="0.25">
      <c r="B93" s="18"/>
      <c r="C93" s="29"/>
      <c r="D93" s="29"/>
      <c r="E93" s="29"/>
      <c r="F93" s="29"/>
      <c r="G93" s="29"/>
      <c r="H93" s="29"/>
      <c r="I93" s="18"/>
    </row>
    <row r="94" spans="2:9" x14ac:dyDescent="0.25">
      <c r="B94" s="18"/>
      <c r="C94" s="29"/>
      <c r="D94" s="29"/>
      <c r="E94" s="29"/>
      <c r="F94" s="29"/>
      <c r="G94" s="29"/>
      <c r="H94" s="29"/>
      <c r="I94" s="18"/>
    </row>
    <row r="95" spans="2:9" x14ac:dyDescent="0.25">
      <c r="B95" s="18"/>
      <c r="C95" s="29"/>
      <c r="D95" s="29"/>
      <c r="E95" s="29"/>
      <c r="F95" s="29"/>
      <c r="G95" s="29"/>
      <c r="H95" s="29"/>
      <c r="I95" s="18"/>
    </row>
    <row r="96" spans="2:9" x14ac:dyDescent="0.25">
      <c r="B96" s="1" t="s">
        <v>100</v>
      </c>
    </row>
  </sheetData>
  <pageMargins left="0" right="0.11811023622047245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showGridLines="0" tabSelected="1" workbookViewId="0">
      <selection activeCell="A2" sqref="A2:XFD2"/>
    </sheetView>
  </sheetViews>
  <sheetFormatPr defaultRowHeight="15" x14ac:dyDescent="0.25"/>
  <cols>
    <col min="1" max="1" width="40.42578125" style="1" bestFit="1" customWidth="1"/>
    <col min="2" max="2" width="29.28515625" style="1" bestFit="1" customWidth="1"/>
    <col min="3" max="9" width="17.7109375" style="1" customWidth="1"/>
    <col min="10" max="16384" width="9.140625" style="1"/>
  </cols>
  <sheetData>
    <row r="1" spans="1:3" x14ac:dyDescent="0.25">
      <c r="A1" s="1" t="s">
        <v>102</v>
      </c>
    </row>
    <row r="3" spans="1:3" x14ac:dyDescent="0.25">
      <c r="A3" s="1" t="s">
        <v>28</v>
      </c>
    </row>
    <row r="5" spans="1:3" x14ac:dyDescent="0.25">
      <c r="A5" s="1" t="s">
        <v>29</v>
      </c>
    </row>
    <row r="7" spans="1:3" x14ac:dyDescent="0.25">
      <c r="A7" s="1" t="s">
        <v>85</v>
      </c>
      <c r="B7" s="1">
        <v>500000</v>
      </c>
    </row>
    <row r="8" spans="1:3" x14ac:dyDescent="0.25">
      <c r="A8" s="1" t="s">
        <v>31</v>
      </c>
      <c r="B8" s="13">
        <v>0.9</v>
      </c>
      <c r="C8" s="1" t="s">
        <v>63</v>
      </c>
    </row>
    <row r="9" spans="1:3" x14ac:dyDescent="0.25">
      <c r="B9" s="1">
        <f>+B7*B8</f>
        <v>450000</v>
      </c>
    </row>
    <row r="10" spans="1:3" x14ac:dyDescent="0.25">
      <c r="A10" s="1" t="s">
        <v>32</v>
      </c>
      <c r="B10" s="13">
        <v>0.05</v>
      </c>
      <c r="C10" s="1" t="s">
        <v>34</v>
      </c>
    </row>
    <row r="11" spans="1:3" x14ac:dyDescent="0.25">
      <c r="A11" s="1" t="s">
        <v>33</v>
      </c>
      <c r="B11" s="13">
        <v>0.95</v>
      </c>
    </row>
    <row r="12" spans="1:3" x14ac:dyDescent="0.25">
      <c r="B12" s="13"/>
      <c r="C12" s="1" t="s">
        <v>86</v>
      </c>
    </row>
    <row r="13" spans="1:3" x14ac:dyDescent="0.25">
      <c r="A13" s="1" t="s">
        <v>37</v>
      </c>
      <c r="B13" s="14">
        <v>0.01</v>
      </c>
      <c r="C13" s="1" t="s">
        <v>38</v>
      </c>
    </row>
    <row r="16" spans="1:3" x14ac:dyDescent="0.25">
      <c r="B16" s="1" t="s">
        <v>35</v>
      </c>
    </row>
    <row r="18" spans="2:5" x14ac:dyDescent="0.25">
      <c r="B18" s="21"/>
      <c r="C18" s="22">
        <v>0</v>
      </c>
      <c r="D18" s="23">
        <v>0.5</v>
      </c>
      <c r="E18" s="22">
        <v>1</v>
      </c>
    </row>
    <row r="19" spans="2:5" x14ac:dyDescent="0.25">
      <c r="B19" s="18"/>
      <c r="C19" s="19"/>
      <c r="D19" s="20"/>
      <c r="E19" s="19"/>
    </row>
    <row r="20" spans="2:5" x14ac:dyDescent="0.25">
      <c r="B20" s="1" t="s">
        <v>36</v>
      </c>
      <c r="C20" s="15">
        <f>+B7</f>
        <v>500000</v>
      </c>
      <c r="D20" s="15"/>
      <c r="E20" s="15"/>
    </row>
    <row r="21" spans="2:5" x14ac:dyDescent="0.25">
      <c r="B21" s="1" t="s">
        <v>39</v>
      </c>
      <c r="C21" s="15">
        <f>+B7*B13</f>
        <v>5000</v>
      </c>
      <c r="D21" s="15"/>
      <c r="E21" s="15"/>
    </row>
    <row r="22" spans="2:5" x14ac:dyDescent="0.25">
      <c r="B22" s="1" t="s">
        <v>64</v>
      </c>
      <c r="C22" s="15">
        <f>+C20*(1-B8)</f>
        <v>49999.999999999985</v>
      </c>
      <c r="D22" s="15"/>
      <c r="E22" s="15"/>
    </row>
    <row r="23" spans="2:5" x14ac:dyDescent="0.25">
      <c r="B23" s="1" t="s">
        <v>40</v>
      </c>
      <c r="C23" s="15"/>
      <c r="D23" s="15"/>
      <c r="E23" s="15">
        <f>1.025*1.025*500000-500000</f>
        <v>25312.5</v>
      </c>
    </row>
    <row r="24" spans="2:5" x14ac:dyDescent="0.25">
      <c r="B24" s="1" t="s">
        <v>41</v>
      </c>
      <c r="C24" s="15"/>
      <c r="D24" s="15"/>
      <c r="E24" s="15">
        <f>+B7*B11</f>
        <v>475000</v>
      </c>
    </row>
    <row r="25" spans="2:5" x14ac:dyDescent="0.25">
      <c r="C25" s="15"/>
      <c r="D25" s="15"/>
      <c r="E25" s="15"/>
    </row>
    <row r="26" spans="2:5" x14ac:dyDescent="0.25">
      <c r="C26" s="15"/>
      <c r="D26" s="15"/>
      <c r="E26" s="15"/>
    </row>
    <row r="27" spans="2:5" x14ac:dyDescent="0.25">
      <c r="B27" s="1" t="s">
        <v>42</v>
      </c>
      <c r="C27" s="15">
        <f>+C20-C21-C22</f>
        <v>445000</v>
      </c>
      <c r="D27" s="15"/>
      <c r="E27" s="15">
        <f>-E23-E24</f>
        <v>-500312.5</v>
      </c>
    </row>
    <row r="28" spans="2:5" x14ac:dyDescent="0.25">
      <c r="C28" s="15"/>
      <c r="D28" s="15"/>
      <c r="E28" s="15"/>
    </row>
    <row r="29" spans="2:5" x14ac:dyDescent="0.25">
      <c r="B29" s="1" t="s">
        <v>87</v>
      </c>
      <c r="C29" s="15"/>
      <c r="D29" s="15"/>
      <c r="E29" s="15"/>
    </row>
    <row r="30" spans="2:5" x14ac:dyDescent="0.25">
      <c r="B30" s="1" t="s">
        <v>88</v>
      </c>
      <c r="C30" s="15"/>
      <c r="D30" s="15"/>
      <c r="E30" s="15">
        <f>+E23*0.3</f>
        <v>7593.75</v>
      </c>
    </row>
    <row r="31" spans="2:5" x14ac:dyDescent="0.25">
      <c r="B31" s="1" t="s">
        <v>89</v>
      </c>
      <c r="C31" s="15"/>
      <c r="D31" s="15"/>
      <c r="E31" s="15">
        <f>+C21*0.3</f>
        <v>1500</v>
      </c>
    </row>
    <row r="32" spans="2:5" x14ac:dyDescent="0.25">
      <c r="B32" s="1" t="s">
        <v>91</v>
      </c>
      <c r="C32" s="15"/>
      <c r="D32" s="15"/>
      <c r="E32" s="15">
        <f>+C22*0.3</f>
        <v>14999.999999999995</v>
      </c>
    </row>
    <row r="33" spans="1:5" x14ac:dyDescent="0.25">
      <c r="B33" s="1" t="s">
        <v>90</v>
      </c>
      <c r="C33" s="15"/>
      <c r="D33" s="15"/>
      <c r="E33" s="15">
        <f>B7*(1-B11)*0.3</f>
        <v>7500.0000000000064</v>
      </c>
    </row>
    <row r="34" spans="1:5" x14ac:dyDescent="0.25">
      <c r="C34" s="15"/>
      <c r="D34" s="15"/>
      <c r="E34" s="15"/>
    </row>
    <row r="35" spans="1:5" x14ac:dyDescent="0.25">
      <c r="B35" s="1" t="s">
        <v>45</v>
      </c>
      <c r="C35" s="15">
        <f>+C27</f>
        <v>445000</v>
      </c>
      <c r="D35" s="15"/>
      <c r="E35" s="15">
        <f>+E27+E30+E31+E32-E33</f>
        <v>-483718.75</v>
      </c>
    </row>
    <row r="37" spans="1:5" x14ac:dyDescent="0.25">
      <c r="B37" s="1" t="s">
        <v>46</v>
      </c>
      <c r="C37" s="16">
        <f>-E35/C35-1</f>
        <v>8.7008426966292074E-2</v>
      </c>
    </row>
    <row r="41" spans="1:5" x14ac:dyDescent="0.25">
      <c r="A41" s="1" t="s">
        <v>101</v>
      </c>
    </row>
    <row r="43" spans="1:5" x14ac:dyDescent="0.25">
      <c r="A43" s="1" t="s">
        <v>47</v>
      </c>
    </row>
    <row r="45" spans="1:5" x14ac:dyDescent="0.25">
      <c r="A45" s="1" t="s">
        <v>30</v>
      </c>
      <c r="B45" s="2">
        <v>500000</v>
      </c>
    </row>
    <row r="46" spans="1:5" x14ac:dyDescent="0.25">
      <c r="A46" s="1" t="s">
        <v>66</v>
      </c>
      <c r="B46" s="4">
        <v>0.1</v>
      </c>
    </row>
    <row r="47" spans="1:5" x14ac:dyDescent="0.25">
      <c r="A47" s="1" t="s">
        <v>48</v>
      </c>
      <c r="B47" s="4" t="s">
        <v>49</v>
      </c>
    </row>
    <row r="48" spans="1:5" x14ac:dyDescent="0.25">
      <c r="A48" s="1" t="s">
        <v>41</v>
      </c>
      <c r="B48" s="4" t="s">
        <v>92</v>
      </c>
    </row>
    <row r="49" spans="1:5" x14ac:dyDescent="0.25">
      <c r="A49" s="1" t="s">
        <v>50</v>
      </c>
      <c r="B49" s="7">
        <v>0.04</v>
      </c>
    </row>
    <row r="50" spans="1:5" x14ac:dyDescent="0.25">
      <c r="A50" s="1" t="s">
        <v>51</v>
      </c>
      <c r="B50" s="7">
        <v>5.0000000000000001E-3</v>
      </c>
      <c r="C50" s="1" t="s">
        <v>53</v>
      </c>
    </row>
    <row r="53" spans="1:5" x14ac:dyDescent="0.25">
      <c r="B53" s="1" t="s">
        <v>35</v>
      </c>
    </row>
    <row r="55" spans="1:5" x14ac:dyDescent="0.25">
      <c r="B55" s="17"/>
      <c r="C55" s="22">
        <v>0</v>
      </c>
      <c r="D55" s="23">
        <v>0.5</v>
      </c>
      <c r="E55" s="23">
        <v>1</v>
      </c>
    </row>
    <row r="56" spans="1:5" x14ac:dyDescent="0.25">
      <c r="B56" s="18"/>
      <c r="C56" s="19"/>
      <c r="D56" s="20"/>
      <c r="E56" s="19"/>
    </row>
    <row r="57" spans="1:5" x14ac:dyDescent="0.25">
      <c r="B57" s="1" t="s">
        <v>52</v>
      </c>
      <c r="C57" s="24">
        <f>+B45</f>
        <v>500000</v>
      </c>
      <c r="D57" s="24"/>
      <c r="E57" s="24"/>
    </row>
    <row r="58" spans="1:5" x14ac:dyDescent="0.25">
      <c r="B58" s="1" t="s">
        <v>55</v>
      </c>
      <c r="C58" s="24">
        <f>+B45*B50</f>
        <v>2500</v>
      </c>
      <c r="D58" s="24"/>
      <c r="E58" s="24"/>
    </row>
    <row r="59" spans="1:5" x14ac:dyDescent="0.25">
      <c r="B59" s="1" t="s">
        <v>54</v>
      </c>
      <c r="C59" s="24">
        <f>+C57</f>
        <v>500000</v>
      </c>
      <c r="D59" s="24">
        <f>+C59</f>
        <v>500000</v>
      </c>
      <c r="E59" s="24">
        <f>+D59-D62</f>
        <v>300000</v>
      </c>
    </row>
    <row r="60" spans="1:5" x14ac:dyDescent="0.25">
      <c r="B60" s="1" t="s">
        <v>40</v>
      </c>
      <c r="C60" s="24"/>
      <c r="D60" s="24">
        <f>+C57*B46/2</f>
        <v>25000</v>
      </c>
      <c r="E60" s="24">
        <f>+E59*B46/2</f>
        <v>15000</v>
      </c>
    </row>
    <row r="61" spans="1:5" x14ac:dyDescent="0.25">
      <c r="B61" s="1" t="s">
        <v>56</v>
      </c>
      <c r="C61" s="24"/>
      <c r="D61" s="24">
        <f>+D60*B49</f>
        <v>1000</v>
      </c>
      <c r="E61" s="24">
        <f>+E60*B49</f>
        <v>600</v>
      </c>
    </row>
    <row r="62" spans="1:5" x14ac:dyDescent="0.25">
      <c r="B62" s="1" t="s">
        <v>41</v>
      </c>
      <c r="C62" s="24"/>
      <c r="D62" s="24">
        <f>+C57*40%</f>
        <v>200000</v>
      </c>
      <c r="E62" s="24">
        <f>+E59</f>
        <v>300000</v>
      </c>
    </row>
    <row r="63" spans="1:5" x14ac:dyDescent="0.25">
      <c r="C63" s="24"/>
      <c r="D63" s="24"/>
      <c r="E63" s="24"/>
    </row>
    <row r="64" spans="1:5" x14ac:dyDescent="0.25">
      <c r="B64" s="1" t="s">
        <v>42</v>
      </c>
      <c r="C64" s="24">
        <f>+C57-C58</f>
        <v>497500</v>
      </c>
      <c r="D64" s="24">
        <f>-D60-D61-D62</f>
        <v>-226000</v>
      </c>
      <c r="E64" s="24">
        <f>-E60-E61-E62</f>
        <v>-315600</v>
      </c>
    </row>
    <row r="65" spans="1:5" x14ac:dyDescent="0.25">
      <c r="C65" s="24"/>
      <c r="D65" s="24"/>
      <c r="E65" s="24"/>
    </row>
    <row r="66" spans="1:5" x14ac:dyDescent="0.25">
      <c r="B66" s="1" t="s">
        <v>43</v>
      </c>
      <c r="C66" s="24"/>
      <c r="D66" s="24"/>
      <c r="E66" s="24"/>
    </row>
    <row r="67" spans="1:5" x14ac:dyDescent="0.25">
      <c r="B67" s="1" t="s">
        <v>44</v>
      </c>
      <c r="C67" s="24"/>
      <c r="D67" s="24">
        <f>+D60*0.3</f>
        <v>7500</v>
      </c>
      <c r="E67" s="24">
        <f>+E60*0.3</f>
        <v>4500</v>
      </c>
    </row>
    <row r="68" spans="1:5" x14ac:dyDescent="0.25">
      <c r="B68" s="1" t="s">
        <v>57</v>
      </c>
      <c r="C68" s="24"/>
      <c r="D68" s="24">
        <f>+D61*0.3</f>
        <v>300</v>
      </c>
      <c r="E68" s="24">
        <f>+E61*0.3</f>
        <v>180</v>
      </c>
    </row>
    <row r="69" spans="1:5" x14ac:dyDescent="0.25">
      <c r="B69" s="1" t="s">
        <v>58</v>
      </c>
      <c r="C69" s="24"/>
      <c r="D69" s="24">
        <f>+C58/2*0.3</f>
        <v>375</v>
      </c>
      <c r="E69" s="24">
        <f>+C58/2*0.3</f>
        <v>375</v>
      </c>
    </row>
    <row r="70" spans="1:5" x14ac:dyDescent="0.25">
      <c r="C70" s="24"/>
      <c r="D70" s="24"/>
      <c r="E70" s="24"/>
    </row>
    <row r="71" spans="1:5" x14ac:dyDescent="0.25">
      <c r="B71" s="1" t="s">
        <v>45</v>
      </c>
      <c r="C71" s="24">
        <f>+C64</f>
        <v>497500</v>
      </c>
      <c r="D71" s="24">
        <f>+D64+D67+D68+D69</f>
        <v>-217825</v>
      </c>
      <c r="E71" s="24">
        <f>+E64+E67+E68+E69</f>
        <v>-310545</v>
      </c>
    </row>
    <row r="72" spans="1:5" x14ac:dyDescent="0.25">
      <c r="C72" s="24"/>
      <c r="D72" s="24"/>
      <c r="E72" s="24"/>
    </row>
    <row r="73" spans="1:5" x14ac:dyDescent="0.25">
      <c r="B73" s="1" t="s">
        <v>59</v>
      </c>
      <c r="C73" s="25">
        <v>7.9020515615741513E-2</v>
      </c>
      <c r="D73" s="24"/>
      <c r="E73" s="24"/>
    </row>
    <row r="74" spans="1:5" x14ac:dyDescent="0.25">
      <c r="C74" s="24"/>
      <c r="D74" s="24"/>
      <c r="E74" s="24"/>
    </row>
    <row r="75" spans="1:5" x14ac:dyDescent="0.25">
      <c r="B75" s="34">
        <v>0</v>
      </c>
      <c r="C75" s="24">
        <f>+C71</f>
        <v>497500</v>
      </c>
      <c r="D75" s="24">
        <f>+C75/(1+$C$73)^B75</f>
        <v>497500</v>
      </c>
      <c r="E75" s="24"/>
    </row>
    <row r="76" spans="1:5" x14ac:dyDescent="0.25">
      <c r="B76" s="34">
        <v>0.5</v>
      </c>
      <c r="C76" s="24">
        <f>+D71</f>
        <v>-217825</v>
      </c>
      <c r="D76" s="24">
        <f t="shared" ref="D76:D77" si="0">+C76/(1+$C$73)^B76</f>
        <v>-209697.31593875855</v>
      </c>
      <c r="E76" s="24"/>
    </row>
    <row r="77" spans="1:5" x14ac:dyDescent="0.25">
      <c r="B77" s="34">
        <v>1</v>
      </c>
      <c r="C77" s="24">
        <f>+E71</f>
        <v>-310545</v>
      </c>
      <c r="D77" s="24">
        <f t="shared" si="0"/>
        <v>-287802.68355026405</v>
      </c>
      <c r="E77" s="24"/>
    </row>
    <row r="78" spans="1:5" x14ac:dyDescent="0.25">
      <c r="B78" s="12"/>
      <c r="C78" s="24"/>
      <c r="D78" s="24"/>
      <c r="E78" s="24"/>
    </row>
    <row r="79" spans="1:5" x14ac:dyDescent="0.25">
      <c r="C79" s="24"/>
      <c r="D79" s="24">
        <f>+D75+D76+D77</f>
        <v>5.1097740652039647E-4</v>
      </c>
      <c r="E79" s="24"/>
    </row>
    <row r="80" spans="1:5" x14ac:dyDescent="0.25">
      <c r="A80" s="1" t="s">
        <v>65</v>
      </c>
    </row>
    <row r="81" spans="1:4" customFormat="1" x14ac:dyDescent="0.25"/>
    <row r="82" spans="1:4" x14ac:dyDescent="0.25">
      <c r="A82" s="1" t="s">
        <v>93</v>
      </c>
    </row>
    <row r="83" spans="1:4" x14ac:dyDescent="0.25">
      <c r="A83" s="1" t="s">
        <v>94</v>
      </c>
    </row>
    <row r="84" spans="1:4" x14ac:dyDescent="0.25">
      <c r="A84" s="1" t="s">
        <v>95</v>
      </c>
    </row>
    <row r="85" spans="1:4" x14ac:dyDescent="0.25">
      <c r="A85" s="1" t="s">
        <v>96</v>
      </c>
    </row>
    <row r="87" spans="1:4" x14ac:dyDescent="0.25">
      <c r="B87" s="1" t="s">
        <v>59</v>
      </c>
      <c r="C87" s="35">
        <f>+C37</f>
        <v>8.7008426966292074E-2</v>
      </c>
    </row>
    <row r="89" spans="1:4" x14ac:dyDescent="0.25">
      <c r="B89" s="15">
        <v>0</v>
      </c>
      <c r="C89" s="1">
        <f>+C71</f>
        <v>497500</v>
      </c>
      <c r="D89" s="1">
        <f>+C89/(1+$C$87)^B89</f>
        <v>497500</v>
      </c>
    </row>
    <row r="90" spans="1:4" x14ac:dyDescent="0.25">
      <c r="B90" s="15">
        <v>0.5</v>
      </c>
      <c r="C90" s="1">
        <f>+D71</f>
        <v>-217825</v>
      </c>
      <c r="D90" s="1">
        <f t="shared" ref="D90:D91" si="1">+C90/(1+$C$87)^B90</f>
        <v>-208925.41198502388</v>
      </c>
    </row>
    <row r="91" spans="1:4" x14ac:dyDescent="0.25">
      <c r="B91" s="15">
        <v>1</v>
      </c>
      <c r="C91" s="1">
        <f>+E71</f>
        <v>-310545</v>
      </c>
      <c r="D91" s="1">
        <f t="shared" si="1"/>
        <v>-285687.75760708057</v>
      </c>
    </row>
    <row r="92" spans="1:4" x14ac:dyDescent="0.25">
      <c r="B92" s="15"/>
    </row>
    <row r="93" spans="1:4" x14ac:dyDescent="0.25">
      <c r="D93" s="1">
        <f>+D89+D90+D91</f>
        <v>2886.8304078955553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Caso 1</vt:lpstr>
      <vt:lpstr>Caso 2</vt:lpstr>
      <vt:lpstr>'Caso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I700144</dc:creator>
  <cp:lastModifiedBy>Luis Oliveira</cp:lastModifiedBy>
  <cp:lastPrinted>2012-10-27T20:37:43Z</cp:lastPrinted>
  <dcterms:created xsi:type="dcterms:W3CDTF">2011-10-12T16:12:03Z</dcterms:created>
  <dcterms:modified xsi:type="dcterms:W3CDTF">2012-11-23T16:04:10Z</dcterms:modified>
</cp:coreProperties>
</file>