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35" windowWidth="15315" windowHeight="7965"/>
  </bookViews>
  <sheets>
    <sheet name="Dados1" sheetId="1" r:id="rId1"/>
    <sheet name="Resolução1" sheetId="3" r:id="rId2"/>
    <sheet name="Resolução1 (VRL)" sheetId="6" r:id="rId3"/>
    <sheet name="Resolução1 (VRL EF)" sheetId="7" r:id="rId4"/>
    <sheet name="Resolução1 (VRC 0)" sheetId="4" r:id="rId5"/>
    <sheet name="Resolução1 (VRC 2)" sheetId="5" r:id="rId6"/>
  </sheets>
  <definedNames>
    <definedName name="Checksum" localSheetId="1">#REF!</definedName>
    <definedName name="Checksum" localSheetId="4">#REF!</definedName>
    <definedName name="Checksum" localSheetId="5">#REF!</definedName>
    <definedName name="Checksum" localSheetId="3">#REF!</definedName>
    <definedName name="Checksum" localSheetId="2">#REF!</definedName>
    <definedName name="Checksum">#REF!</definedName>
    <definedName name="Work_Area" localSheetId="1">#REF!</definedName>
    <definedName name="Work_Area" localSheetId="4">#REF!</definedName>
    <definedName name="Work_Area" localSheetId="5">#REF!</definedName>
    <definedName name="Work_Area" localSheetId="3">#REF!</definedName>
    <definedName name="Work_Area" localSheetId="2">#REF!</definedName>
    <definedName name="Work_Area">#REF!</definedName>
  </definedNames>
  <calcPr calcId="145621"/>
</workbook>
</file>

<file path=xl/calcChain.xml><?xml version="1.0" encoding="utf-8"?>
<calcChain xmlns="http://schemas.openxmlformats.org/spreadsheetml/2006/main">
  <c r="B66" i="5" l="1"/>
  <c r="B65" i="5"/>
  <c r="B65" i="4"/>
  <c r="B55" i="6"/>
  <c r="E58" i="7"/>
  <c r="E59" i="7" s="1"/>
  <c r="D58" i="7"/>
  <c r="D59" i="7" s="1"/>
  <c r="C58" i="7"/>
  <c r="C59" i="7" s="1"/>
  <c r="B44" i="7"/>
  <c r="D32" i="7"/>
  <c r="C32" i="7"/>
  <c r="E13" i="7"/>
  <c r="D13" i="7"/>
  <c r="C13" i="7"/>
  <c r="E11" i="7"/>
  <c r="E32" i="7" s="1"/>
  <c r="D11" i="7"/>
  <c r="C11" i="7"/>
  <c r="B5" i="7"/>
  <c r="B3" i="7"/>
  <c r="B46" i="7" s="1"/>
  <c r="B48" i="7" s="1"/>
  <c r="E58" i="6"/>
  <c r="E59" i="6" s="1"/>
  <c r="D58" i="6"/>
  <c r="D59" i="6" s="1"/>
  <c r="C58" i="6"/>
  <c r="C59" i="6" s="1"/>
  <c r="B44" i="6"/>
  <c r="E13" i="6"/>
  <c r="D13" i="6"/>
  <c r="C13" i="6"/>
  <c r="E11" i="6"/>
  <c r="E32" i="6" s="1"/>
  <c r="D11" i="6"/>
  <c r="D32" i="6" s="1"/>
  <c r="C11" i="6"/>
  <c r="C32" i="6" s="1"/>
  <c r="B6" i="6"/>
  <c r="B5" i="6"/>
  <c r="E5" i="6" s="1"/>
  <c r="E15" i="6" s="1"/>
  <c r="B3" i="6"/>
  <c r="B46" i="6" s="1"/>
  <c r="B48" i="6" s="1"/>
  <c r="B58" i="7" l="1"/>
  <c r="B59" i="7" s="1"/>
  <c r="E5" i="7"/>
  <c r="E15" i="7" s="1"/>
  <c r="B6" i="7"/>
  <c r="B49" i="7"/>
  <c r="B49" i="6"/>
  <c r="B56" i="6" s="1"/>
  <c r="B57" i="6" s="1"/>
  <c r="B50" i="7"/>
  <c r="B56" i="7"/>
  <c r="B57" i="7" s="1"/>
  <c r="E14" i="7"/>
  <c r="C5" i="7"/>
  <c r="C12" i="7"/>
  <c r="C24" i="7" s="1"/>
  <c r="D12" i="7"/>
  <c r="D24" i="7" s="1"/>
  <c r="F3" i="7"/>
  <c r="E12" i="7"/>
  <c r="E24" i="7" s="1"/>
  <c r="D5" i="7"/>
  <c r="D15" i="7" s="1"/>
  <c r="B58" i="6"/>
  <c r="B59" i="6" s="1"/>
  <c r="F3" i="6"/>
  <c r="C5" i="6"/>
  <c r="D5" i="6"/>
  <c r="D15" i="6" s="1"/>
  <c r="C12" i="6"/>
  <c r="C24" i="6" s="1"/>
  <c r="D12" i="6"/>
  <c r="D24" i="6" s="1"/>
  <c r="C15" i="6"/>
  <c r="E12" i="6"/>
  <c r="E24" i="6" s="1"/>
  <c r="E13" i="5"/>
  <c r="E13" i="4"/>
  <c r="E13" i="3"/>
  <c r="E60" i="5"/>
  <c r="E61" i="5" s="1"/>
  <c r="D60" i="5"/>
  <c r="D61" i="5" s="1"/>
  <c r="C60" i="5"/>
  <c r="C61" i="5" s="1"/>
  <c r="B44" i="5"/>
  <c r="D13" i="5"/>
  <c r="C13" i="5"/>
  <c r="E11" i="5"/>
  <c r="E32" i="5" s="1"/>
  <c r="D11" i="5"/>
  <c r="C11" i="5"/>
  <c r="C32" i="5" s="1"/>
  <c r="B5" i="5"/>
  <c r="B3" i="5"/>
  <c r="B60" i="5" s="1"/>
  <c r="B61" i="5" s="1"/>
  <c r="E60" i="4"/>
  <c r="E61" i="4" s="1"/>
  <c r="D60" i="4"/>
  <c r="D61" i="4" s="1"/>
  <c r="C60" i="4"/>
  <c r="C61" i="4" s="1"/>
  <c r="B44" i="4"/>
  <c r="D13" i="4"/>
  <c r="C13" i="4"/>
  <c r="E11" i="4"/>
  <c r="E32" i="4" s="1"/>
  <c r="D11" i="4"/>
  <c r="C11" i="4"/>
  <c r="C32" i="4" s="1"/>
  <c r="B5" i="4"/>
  <c r="B3" i="4"/>
  <c r="B60" i="4" s="1"/>
  <c r="B61" i="4" s="1"/>
  <c r="E16" i="7" l="1"/>
  <c r="B50" i="6"/>
  <c r="C14" i="6"/>
  <c r="C16" i="6" s="1"/>
  <c r="C17" i="6" s="1"/>
  <c r="C18" i="6" s="1"/>
  <c r="C19" i="6" s="1"/>
  <c r="C42" i="6" s="1"/>
  <c r="C44" i="6" s="1"/>
  <c r="D26" i="7"/>
  <c r="C15" i="7"/>
  <c r="F5" i="7"/>
  <c r="F6" i="7" s="1"/>
  <c r="D14" i="7"/>
  <c r="D16" i="7" s="1"/>
  <c r="E26" i="7"/>
  <c r="E33" i="7" s="1"/>
  <c r="C6" i="7"/>
  <c r="D6" i="7" s="1"/>
  <c r="E6" i="7" s="1"/>
  <c r="E17" i="7"/>
  <c r="E18" i="7"/>
  <c r="C26" i="7"/>
  <c r="B54" i="7"/>
  <c r="C14" i="7"/>
  <c r="F5" i="6"/>
  <c r="F6" i="6" s="1"/>
  <c r="B62" i="6" s="1"/>
  <c r="E14" i="6"/>
  <c r="E16" i="6" s="1"/>
  <c r="E17" i="6" s="1"/>
  <c r="E18" i="6" s="1"/>
  <c r="C6" i="6"/>
  <c r="D6" i="6" s="1"/>
  <c r="E6" i="6" s="1"/>
  <c r="D14" i="6"/>
  <c r="D16" i="6" s="1"/>
  <c r="D26" i="6"/>
  <c r="B54" i="6"/>
  <c r="C26" i="6"/>
  <c r="C27" i="6" s="1"/>
  <c r="C35" i="6" s="1"/>
  <c r="E26" i="6"/>
  <c r="E33" i="6" s="1"/>
  <c r="E5" i="5"/>
  <c r="E15" i="5" s="1"/>
  <c r="D12" i="5"/>
  <c r="D24" i="5" s="1"/>
  <c r="E5" i="4"/>
  <c r="E15" i="4" s="1"/>
  <c r="D32" i="5"/>
  <c r="D26" i="5"/>
  <c r="D5" i="5"/>
  <c r="D15" i="5" s="1"/>
  <c r="B46" i="5"/>
  <c r="B48" i="5" s="1"/>
  <c r="B49" i="5" s="1"/>
  <c r="F3" i="5"/>
  <c r="C5" i="5"/>
  <c r="B6" i="5"/>
  <c r="C12" i="5"/>
  <c r="C24" i="5" s="1"/>
  <c r="E12" i="5"/>
  <c r="E24" i="5" s="1"/>
  <c r="D12" i="4"/>
  <c r="D24" i="4" s="1"/>
  <c r="D32" i="4"/>
  <c r="D26" i="4"/>
  <c r="D5" i="4"/>
  <c r="D15" i="4" s="1"/>
  <c r="F3" i="4"/>
  <c r="C5" i="4"/>
  <c r="B6" i="4"/>
  <c r="C6" i="4" s="1"/>
  <c r="C12" i="4"/>
  <c r="C24" i="4" s="1"/>
  <c r="E12" i="4"/>
  <c r="E24" i="4" s="1"/>
  <c r="B46" i="4"/>
  <c r="B48" i="4" s="1"/>
  <c r="B49" i="4" s="1"/>
  <c r="E58" i="3"/>
  <c r="E59" i="3" s="1"/>
  <c r="D58" i="3"/>
  <c r="D59" i="3" s="1"/>
  <c r="C58" i="3"/>
  <c r="C59" i="3" s="1"/>
  <c r="B44" i="3"/>
  <c r="D13" i="3"/>
  <c r="C13" i="3"/>
  <c r="E11" i="3"/>
  <c r="E32" i="3" s="1"/>
  <c r="D11" i="3"/>
  <c r="D32" i="3" s="1"/>
  <c r="C11" i="3"/>
  <c r="C32" i="3" s="1"/>
  <c r="B5" i="3"/>
  <c r="B3" i="3"/>
  <c r="B58" i="3" s="1"/>
  <c r="B59" i="3" s="1"/>
  <c r="B63" i="7" l="1"/>
  <c r="E43" i="7" s="1"/>
  <c r="D17" i="6"/>
  <c r="D18" i="6" s="1"/>
  <c r="D19" i="6" s="1"/>
  <c r="D42" i="6" s="1"/>
  <c r="D44" i="6" s="1"/>
  <c r="B63" i="6"/>
  <c r="E43" i="6" s="1"/>
  <c r="D17" i="7"/>
  <c r="D18" i="7" s="1"/>
  <c r="D19" i="7" s="1"/>
  <c r="D42" i="7" s="1"/>
  <c r="D44" i="7" s="1"/>
  <c r="D25" i="7"/>
  <c r="D27" i="7" s="1"/>
  <c r="D35" i="7" s="1"/>
  <c r="C33" i="7"/>
  <c r="C36" i="7" s="1"/>
  <c r="C37" i="7" s="1"/>
  <c r="C47" i="7" s="1"/>
  <c r="C48" i="7" s="1"/>
  <c r="D33" i="7"/>
  <c r="D36" i="7" s="1"/>
  <c r="D37" i="7" s="1"/>
  <c r="D47" i="7" s="1"/>
  <c r="D48" i="7" s="1"/>
  <c r="E25" i="7"/>
  <c r="E27" i="7" s="1"/>
  <c r="E35" i="7" s="1"/>
  <c r="E36" i="7" s="1"/>
  <c r="C27" i="7"/>
  <c r="C35" i="7" s="1"/>
  <c r="E19" i="7"/>
  <c r="E42" i="7" s="1"/>
  <c r="E44" i="7" s="1"/>
  <c r="C16" i="7"/>
  <c r="E19" i="6"/>
  <c r="E42" i="6" s="1"/>
  <c r="E25" i="6"/>
  <c r="E27" i="6" s="1"/>
  <c r="E35" i="6" s="1"/>
  <c r="D33" i="6"/>
  <c r="E36" i="6"/>
  <c r="D25" i="6"/>
  <c r="D27" i="6" s="1"/>
  <c r="D35" i="6" s="1"/>
  <c r="C33" i="6"/>
  <c r="C36" i="6" s="1"/>
  <c r="C37" i="6" s="1"/>
  <c r="C47" i="6" s="1"/>
  <c r="C48" i="6" s="1"/>
  <c r="C49" i="6" s="1"/>
  <c r="D6" i="4"/>
  <c r="E6" i="4" s="1"/>
  <c r="B55" i="5"/>
  <c r="B54" i="5"/>
  <c r="B54" i="4"/>
  <c r="B55" i="4"/>
  <c r="D14" i="5"/>
  <c r="B50" i="4"/>
  <c r="D16" i="5"/>
  <c r="D17" i="5" s="1"/>
  <c r="D18" i="5" s="1"/>
  <c r="D19" i="5" s="1"/>
  <c r="D42" i="5" s="1"/>
  <c r="D44" i="5" s="1"/>
  <c r="B58" i="5"/>
  <c r="B59" i="5" s="1"/>
  <c r="B52" i="5"/>
  <c r="B50" i="5"/>
  <c r="C26" i="5"/>
  <c r="C15" i="5"/>
  <c r="F5" i="5"/>
  <c r="F6" i="5" s="1"/>
  <c r="D33" i="5"/>
  <c r="E25" i="5"/>
  <c r="C14" i="5"/>
  <c r="E26" i="5"/>
  <c r="E33" i="5" s="1"/>
  <c r="C6" i="5"/>
  <c r="D6" i="5" s="1"/>
  <c r="E6" i="5" s="1"/>
  <c r="E14" i="5"/>
  <c r="E16" i="5" s="1"/>
  <c r="D14" i="4"/>
  <c r="D16" i="4" s="1"/>
  <c r="D17" i="4" s="1"/>
  <c r="D18" i="4" s="1"/>
  <c r="D19" i="4" s="1"/>
  <c r="D42" i="4" s="1"/>
  <c r="D44" i="4" s="1"/>
  <c r="C14" i="4"/>
  <c r="B58" i="4"/>
  <c r="B59" i="4" s="1"/>
  <c r="E26" i="4"/>
  <c r="E33" i="4" s="1"/>
  <c r="C26" i="4"/>
  <c r="C15" i="4"/>
  <c r="F5" i="4"/>
  <c r="F6" i="4" s="1"/>
  <c r="D33" i="4"/>
  <c r="E25" i="4"/>
  <c r="E14" i="4"/>
  <c r="E16" i="4" s="1"/>
  <c r="D5" i="3"/>
  <c r="D15" i="3" s="1"/>
  <c r="D12" i="3"/>
  <c r="D24" i="3" s="1"/>
  <c r="D26" i="3" s="1"/>
  <c r="F3" i="3"/>
  <c r="C5" i="3"/>
  <c r="E5" i="3"/>
  <c r="E15" i="3" s="1"/>
  <c r="B6" i="3"/>
  <c r="C12" i="3"/>
  <c r="C24" i="3" s="1"/>
  <c r="E12" i="3"/>
  <c r="E24" i="3" s="1"/>
  <c r="C14" i="3"/>
  <c r="B46" i="3"/>
  <c r="B48" i="3" s="1"/>
  <c r="B49" i="3" s="1"/>
  <c r="E27" i="4" l="1"/>
  <c r="E35" i="4" s="1"/>
  <c r="E36" i="4" s="1"/>
  <c r="D49" i="7"/>
  <c r="D56" i="7" s="1"/>
  <c r="D57" i="7" s="1"/>
  <c r="E44" i="6"/>
  <c r="E37" i="7"/>
  <c r="E47" i="7" s="1"/>
  <c r="E48" i="7" s="1"/>
  <c r="E49" i="7" s="1"/>
  <c r="C17" i="7"/>
  <c r="C18" i="7"/>
  <c r="C19" i="7" s="1"/>
  <c r="C42" i="7" s="1"/>
  <c r="C44" i="7" s="1"/>
  <c r="C49" i="7" s="1"/>
  <c r="C6" i="3"/>
  <c r="D36" i="6"/>
  <c r="D37" i="6" s="1"/>
  <c r="D47" i="6" s="1"/>
  <c r="D48" i="6" s="1"/>
  <c r="D49" i="6" s="1"/>
  <c r="C56" i="6"/>
  <c r="C57" i="6" s="1"/>
  <c r="C50" i="6"/>
  <c r="D6" i="3"/>
  <c r="E6" i="3" s="1"/>
  <c r="E14" i="3"/>
  <c r="E16" i="3" s="1"/>
  <c r="E17" i="3" s="1"/>
  <c r="E18" i="3" s="1"/>
  <c r="C16" i="5"/>
  <c r="D14" i="3"/>
  <c r="D16" i="3" s="1"/>
  <c r="D17" i="3" s="1"/>
  <c r="D18" i="3" s="1"/>
  <c r="D19" i="3" s="1"/>
  <c r="D42" i="3" s="1"/>
  <c r="D44" i="3" s="1"/>
  <c r="E27" i="5"/>
  <c r="E35" i="5" s="1"/>
  <c r="E36" i="5" s="1"/>
  <c r="C17" i="5"/>
  <c r="C18" i="5" s="1"/>
  <c r="C19" i="5" s="1"/>
  <c r="C42" i="5" s="1"/>
  <c r="C44" i="5" s="1"/>
  <c r="D25" i="5"/>
  <c r="D27" i="5" s="1"/>
  <c r="D35" i="5" s="1"/>
  <c r="D36" i="5" s="1"/>
  <c r="C33" i="5"/>
  <c r="E17" i="5"/>
  <c r="E18" i="5" s="1"/>
  <c r="B56" i="5"/>
  <c r="C27" i="5"/>
  <c r="C35" i="5" s="1"/>
  <c r="C16" i="4"/>
  <c r="C17" i="4" s="1"/>
  <c r="C18" i="4" s="1"/>
  <c r="C19" i="4" s="1"/>
  <c r="C42" i="4" s="1"/>
  <c r="C44" i="4" s="1"/>
  <c r="E17" i="4"/>
  <c r="E18" i="4" s="1"/>
  <c r="D25" i="4"/>
  <c r="D27" i="4" s="1"/>
  <c r="D35" i="4" s="1"/>
  <c r="D36" i="4" s="1"/>
  <c r="C33" i="4"/>
  <c r="B56" i="4"/>
  <c r="C27" i="4"/>
  <c r="C35" i="4" s="1"/>
  <c r="B56" i="3"/>
  <c r="B57" i="3" s="1"/>
  <c r="B50" i="3"/>
  <c r="C26" i="3"/>
  <c r="C27" i="3" s="1"/>
  <c r="C35" i="3" s="1"/>
  <c r="D33" i="3"/>
  <c r="E25" i="3"/>
  <c r="E26" i="3"/>
  <c r="E33" i="3" s="1"/>
  <c r="C15" i="3"/>
  <c r="C16" i="3" s="1"/>
  <c r="F5" i="3"/>
  <c r="F6" i="3" s="1"/>
  <c r="B64" i="4" l="1"/>
  <c r="D50" i="7"/>
  <c r="E50" i="7"/>
  <c r="E56" i="7"/>
  <c r="E57" i="7" s="1"/>
  <c r="C56" i="7"/>
  <c r="C57" i="7" s="1"/>
  <c r="C50" i="7"/>
  <c r="B53" i="7"/>
  <c r="E37" i="6"/>
  <c r="E47" i="6" s="1"/>
  <c r="E48" i="6" s="1"/>
  <c r="E49" i="6" s="1"/>
  <c r="E56" i="6" s="1"/>
  <c r="E57" i="6" s="1"/>
  <c r="E50" i="6"/>
  <c r="B51" i="6" s="1"/>
  <c r="B53" i="6"/>
  <c r="D52" i="6" s="1"/>
  <c r="C54" i="6"/>
  <c r="D54" i="6" s="1"/>
  <c r="D56" i="6"/>
  <c r="D57" i="6" s="1"/>
  <c r="D50" i="6"/>
  <c r="F54" i="5"/>
  <c r="F55" i="5" s="1"/>
  <c r="V54" i="4"/>
  <c r="V55" i="4" s="1"/>
  <c r="T54" i="4"/>
  <c r="T55" i="4" s="1"/>
  <c r="R54" i="4"/>
  <c r="R55" i="4" s="1"/>
  <c r="P54" i="4"/>
  <c r="P55" i="4" s="1"/>
  <c r="N54" i="4"/>
  <c r="N55" i="4" s="1"/>
  <c r="L54" i="4"/>
  <c r="L55" i="4" s="1"/>
  <c r="J54" i="4"/>
  <c r="J55" i="4" s="1"/>
  <c r="H54" i="4"/>
  <c r="H55" i="4" s="1"/>
  <c r="F54" i="4"/>
  <c r="F55" i="4" s="1"/>
  <c r="U54" i="4"/>
  <c r="U55" i="4" s="1"/>
  <c r="S54" i="4"/>
  <c r="S55" i="4" s="1"/>
  <c r="Q54" i="4"/>
  <c r="Q55" i="4" s="1"/>
  <c r="O54" i="4"/>
  <c r="O55" i="4" s="1"/>
  <c r="M54" i="4"/>
  <c r="M55" i="4" s="1"/>
  <c r="K54" i="4"/>
  <c r="K55" i="4" s="1"/>
  <c r="I54" i="4"/>
  <c r="I55" i="4" s="1"/>
  <c r="G54" i="4"/>
  <c r="G55" i="4" s="1"/>
  <c r="E19" i="5"/>
  <c r="E42" i="5" s="1"/>
  <c r="E37" i="5"/>
  <c r="E47" i="5" s="1"/>
  <c r="E48" i="5" s="1"/>
  <c r="B64" i="5"/>
  <c r="E43" i="5" s="1"/>
  <c r="C36" i="5"/>
  <c r="C37" i="5" s="1"/>
  <c r="C47" i="5" s="1"/>
  <c r="C48" i="5" s="1"/>
  <c r="C49" i="5" s="1"/>
  <c r="C54" i="5" s="1"/>
  <c r="C36" i="4"/>
  <c r="C37" i="4" s="1"/>
  <c r="C47" i="4" s="1"/>
  <c r="C48" i="4" s="1"/>
  <c r="C49" i="4" s="1"/>
  <c r="E43" i="4"/>
  <c r="E19" i="4"/>
  <c r="E42" i="4" s="1"/>
  <c r="E37" i="4"/>
  <c r="E47" i="4" s="1"/>
  <c r="E48" i="4" s="1"/>
  <c r="C17" i="3"/>
  <c r="C18" i="3" s="1"/>
  <c r="C19" i="3" s="1"/>
  <c r="C42" i="3" s="1"/>
  <c r="C44" i="3" s="1"/>
  <c r="E19" i="3"/>
  <c r="E42" i="3" s="1"/>
  <c r="E27" i="3"/>
  <c r="E35" i="3" s="1"/>
  <c r="E36" i="3" s="1"/>
  <c r="D25" i="3"/>
  <c r="D27" i="3" s="1"/>
  <c r="D35" i="3" s="1"/>
  <c r="D36" i="3" s="1"/>
  <c r="D37" i="3" s="1"/>
  <c r="D47" i="3" s="1"/>
  <c r="D48" i="3" s="1"/>
  <c r="D49" i="3" s="1"/>
  <c r="C33" i="3"/>
  <c r="C36" i="3" s="1"/>
  <c r="C37" i="3" s="1"/>
  <c r="C47" i="3" s="1"/>
  <c r="C48" i="3" s="1"/>
  <c r="B54" i="3"/>
  <c r="B60" i="6" l="1"/>
  <c r="B52" i="7"/>
  <c r="D52" i="7"/>
  <c r="B51" i="7"/>
  <c r="C54" i="7"/>
  <c r="D54" i="7" s="1"/>
  <c r="B60" i="7"/>
  <c r="C52" i="7"/>
  <c r="E52" i="7"/>
  <c r="E54" i="6"/>
  <c r="B52" i="6"/>
  <c r="C52" i="6"/>
  <c r="E52" i="6"/>
  <c r="E54" i="5"/>
  <c r="E54" i="4"/>
  <c r="G54" i="5"/>
  <c r="C55" i="4"/>
  <c r="C56" i="4" s="1"/>
  <c r="C54" i="4"/>
  <c r="G55" i="5"/>
  <c r="H54" i="5"/>
  <c r="E55" i="4"/>
  <c r="E52" i="5"/>
  <c r="C55" i="5"/>
  <c r="C56" i="5" s="1"/>
  <c r="C50" i="5"/>
  <c r="C58" i="5"/>
  <c r="C59" i="5" s="1"/>
  <c r="C52" i="5"/>
  <c r="E55" i="5"/>
  <c r="E44" i="5"/>
  <c r="E49" i="5" s="1"/>
  <c r="D37" i="5"/>
  <c r="D47" i="5" s="1"/>
  <c r="D48" i="5" s="1"/>
  <c r="D49" i="5" s="1"/>
  <c r="D54" i="5" s="1"/>
  <c r="E52" i="4"/>
  <c r="C50" i="4"/>
  <c r="C58" i="4"/>
  <c r="C59" i="4" s="1"/>
  <c r="D37" i="4"/>
  <c r="D47" i="4" s="1"/>
  <c r="D48" i="4" s="1"/>
  <c r="D49" i="4" s="1"/>
  <c r="D54" i="4" s="1"/>
  <c r="E44" i="3"/>
  <c r="E49" i="3" s="1"/>
  <c r="C49" i="3"/>
  <c r="C56" i="3" s="1"/>
  <c r="C57" i="3" s="1"/>
  <c r="D56" i="3"/>
  <c r="D57" i="3" s="1"/>
  <c r="D50" i="3"/>
  <c r="E37" i="3"/>
  <c r="E47" i="3" s="1"/>
  <c r="E48" i="3" s="1"/>
  <c r="B55" i="7" l="1"/>
  <c r="E54" i="7"/>
  <c r="C53" i="7"/>
  <c r="C53" i="6"/>
  <c r="C50" i="3"/>
  <c r="C54" i="3" s="1"/>
  <c r="D54" i="3" s="1"/>
  <c r="I54" i="5"/>
  <c r="H55" i="5"/>
  <c r="D58" i="4"/>
  <c r="D59" i="4" s="1"/>
  <c r="D55" i="4"/>
  <c r="D56" i="4" s="1"/>
  <c r="E56" i="4" s="1"/>
  <c r="F56" i="4" s="1"/>
  <c r="G56" i="4" s="1"/>
  <c r="H56" i="4" s="1"/>
  <c r="I56" i="4" s="1"/>
  <c r="J56" i="4" s="1"/>
  <c r="K56" i="4" s="1"/>
  <c r="L56" i="4" s="1"/>
  <c r="M56" i="4" s="1"/>
  <c r="N56" i="4" s="1"/>
  <c r="O56" i="4" s="1"/>
  <c r="P56" i="4" s="1"/>
  <c r="Q56" i="4" s="1"/>
  <c r="R56" i="4" s="1"/>
  <c r="S56" i="4" s="1"/>
  <c r="T56" i="4" s="1"/>
  <c r="U56" i="4" s="1"/>
  <c r="D58" i="5"/>
  <c r="D59" i="5" s="1"/>
  <c r="D52" i="5"/>
  <c r="C53" i="5" s="1"/>
  <c r="D55" i="5"/>
  <c r="D56" i="5" s="1"/>
  <c r="E56" i="5" s="1"/>
  <c r="F56" i="5" s="1"/>
  <c r="G56" i="5" s="1"/>
  <c r="D50" i="5"/>
  <c r="E50" i="5"/>
  <c r="B51" i="5" s="1"/>
  <c r="E58" i="5"/>
  <c r="E59" i="5" s="1"/>
  <c r="D50" i="4"/>
  <c r="E56" i="3"/>
  <c r="E57" i="3" s="1"/>
  <c r="B60" i="3" s="1"/>
  <c r="E50" i="3"/>
  <c r="B53" i="3"/>
  <c r="B62" i="5" l="1"/>
  <c r="B51" i="3"/>
  <c r="E54" i="3"/>
  <c r="B55" i="3"/>
  <c r="J54" i="5"/>
  <c r="I55" i="5"/>
  <c r="H56" i="5"/>
  <c r="V56" i="4"/>
  <c r="B57" i="4"/>
  <c r="B52" i="3"/>
  <c r="D52" i="3"/>
  <c r="C52" i="3"/>
  <c r="E52" i="3"/>
  <c r="K54" i="5" l="1"/>
  <c r="J55" i="5"/>
  <c r="I56" i="5"/>
  <c r="C53" i="3"/>
  <c r="L54" i="5" l="1"/>
  <c r="K55" i="5"/>
  <c r="J56" i="5"/>
  <c r="C52" i="4"/>
  <c r="E44" i="4"/>
  <c r="E49" i="4" s="1"/>
  <c r="M54" i="5" l="1"/>
  <c r="L55" i="5"/>
  <c r="K56" i="5"/>
  <c r="E50" i="4"/>
  <c r="E58" i="4"/>
  <c r="B51" i="4"/>
  <c r="E59" i="4"/>
  <c r="B62" i="4" s="1"/>
  <c r="D52" i="4"/>
  <c r="B52" i="4"/>
  <c r="N54" i="5" l="1"/>
  <c r="M55" i="5"/>
  <c r="L56" i="5"/>
  <c r="C53" i="4"/>
  <c r="O54" i="5" l="1"/>
  <c r="N55" i="5"/>
  <c r="M56" i="5"/>
  <c r="P54" i="5" l="1"/>
  <c r="O55" i="5"/>
  <c r="N56" i="5"/>
  <c r="Q54" i="5" l="1"/>
  <c r="P55" i="5"/>
  <c r="O56" i="5"/>
  <c r="R54" i="5" l="1"/>
  <c r="Q55" i="5"/>
  <c r="P56" i="5"/>
  <c r="S54" i="5" l="1"/>
  <c r="R55" i="5"/>
  <c r="Q56" i="5"/>
  <c r="T54" i="5" l="1"/>
  <c r="S55" i="5"/>
  <c r="R56" i="5"/>
  <c r="U54" i="5" l="1"/>
  <c r="T55" i="5"/>
  <c r="S56" i="5"/>
  <c r="V54" i="5" l="1"/>
  <c r="U55" i="5"/>
  <c r="T56" i="5"/>
  <c r="W54" i="5" l="1"/>
  <c r="W55" i="5" s="1"/>
  <c r="V55" i="5"/>
  <c r="U56" i="5"/>
  <c r="V56" i="5" l="1"/>
  <c r="B57" i="5" s="1"/>
  <c r="W56" i="5" l="1"/>
</calcChain>
</file>

<file path=xl/sharedStrings.xml><?xml version="1.0" encoding="utf-8"?>
<sst xmlns="http://schemas.openxmlformats.org/spreadsheetml/2006/main" count="308" uniqueCount="69">
  <si>
    <t>DADOS PREVISIONAIS</t>
  </si>
  <si>
    <t>Rúbrica</t>
  </si>
  <si>
    <t>Vendas</t>
  </si>
  <si>
    <t xml:space="preserve"> </t>
  </si>
  <si>
    <t>Custo das Mercadorias Vendidas</t>
  </si>
  <si>
    <t>Outros Custos</t>
  </si>
  <si>
    <t>Investimento em Capital Fixo</t>
  </si>
  <si>
    <t>INDICADORES PREVISIONAIS</t>
  </si>
  <si>
    <t>Indicador</t>
  </si>
  <si>
    <t>unidade</t>
  </si>
  <si>
    <t>valor</t>
  </si>
  <si>
    <t>Horizonte Temporal do Projecto</t>
  </si>
  <si>
    <t>anos</t>
  </si>
  <si>
    <t>Valor Residual do Projecto</t>
  </si>
  <si>
    <t>Taxa de Amortização Cap.Fixo</t>
  </si>
  <si>
    <t>%</t>
  </si>
  <si>
    <t>Prazo Médio Recebimento</t>
  </si>
  <si>
    <t>meses</t>
  </si>
  <si>
    <t>Prazo Médio Pagamento</t>
  </si>
  <si>
    <t>Prazo Médio de Armazenagem</t>
  </si>
  <si>
    <t>Taxa de Imposto sobre Lucros</t>
  </si>
  <si>
    <t>Taxa de actualização</t>
  </si>
  <si>
    <t>PLANO DE AMORTIZAÇÕES</t>
  </si>
  <si>
    <t>Investimento</t>
  </si>
  <si>
    <t>Total</t>
  </si>
  <si>
    <t>Capital Fixo</t>
  </si>
  <si>
    <t>Amortizações</t>
  </si>
  <si>
    <t>Valor Líquido Contabilístico</t>
  </si>
  <si>
    <t>DEMONSTRAÇÃO DE RESULTADOS</t>
  </si>
  <si>
    <t>Custos das Vendas</t>
  </si>
  <si>
    <t>EBITDA</t>
  </si>
  <si>
    <t>EBIT</t>
  </si>
  <si>
    <t>Imposto</t>
  </si>
  <si>
    <t>EBIT(1-t)</t>
  </si>
  <si>
    <t>Operational Cash Flow</t>
  </si>
  <si>
    <t>COMPRAS DE MERCADORIAS</t>
  </si>
  <si>
    <t>Custo Mercadorias Vendidas</t>
  </si>
  <si>
    <t>Existências Iniciais</t>
  </si>
  <si>
    <t>Existências Finais</t>
  </si>
  <si>
    <t>Compras</t>
  </si>
  <si>
    <t>WORKING CAPITAL</t>
  </si>
  <si>
    <t>Necessidades Financeiras</t>
  </si>
  <si>
    <t>Clientes</t>
  </si>
  <si>
    <t>Existências</t>
  </si>
  <si>
    <t>Recursos Financeiros</t>
  </si>
  <si>
    <t>Fornecedores</t>
  </si>
  <si>
    <t>Working Capital</t>
  </si>
  <si>
    <t>Investimento em Work.Capital</t>
  </si>
  <si>
    <t>CASH FLOW</t>
  </si>
  <si>
    <t>Operational CF</t>
  </si>
  <si>
    <t>Valor Residual</t>
  </si>
  <si>
    <t>Invest. Cap Fixo</t>
  </si>
  <si>
    <t>Invest. Work Capital</t>
  </si>
  <si>
    <t>Cash Flow</t>
  </si>
  <si>
    <t>Cash Flow Actualizado</t>
  </si>
  <si>
    <t>VAL</t>
  </si>
  <si>
    <t>TIR</t>
  </si>
  <si>
    <t>Cash Flow Actualizado Acumulado</t>
  </si>
  <si>
    <t>PR</t>
  </si>
  <si>
    <t>Cash Flow + Inv.C.F.</t>
  </si>
  <si>
    <t>Cash Flow + Inv.C.F. Actualizado</t>
  </si>
  <si>
    <t>Investimento Actualizado</t>
  </si>
  <si>
    <t>IRP</t>
  </si>
  <si>
    <t>Valor Residual de Liquidação</t>
  </si>
  <si>
    <t>Valor Residual de Continuidade s/Cres</t>
  </si>
  <si>
    <t>Valor Residual de Continuidade c/Cres</t>
  </si>
  <si>
    <t>Valor de Mercado do Capital Fixo</t>
  </si>
  <si>
    <t>Cash Flow n+1</t>
  </si>
  <si>
    <t>Capital Fixo Líquido 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</si>
</sst>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2" formatCode="_-* #,##0\ &quot;€&quot;_-;\-* #,##0\ &quot;€&quot;_-;_-* &quot;-&quot;\ &quot;€&quot;_-;_-@_-"/>
    <numFmt numFmtId="164" formatCode="_(* #,##0.00_);_(* \(#,##0.00\);_(* &quot;-&quot;??_);_(@_)"/>
    <numFmt numFmtId="165" formatCode="_(* #,##0_);_(* \(#,##0\);_(* &quot;-&quot;??_);_(@_)"/>
    <numFmt numFmtId="166" formatCode="0.0%"/>
  </numFmts>
  <fonts count="6" x14ac:knownFonts="1">
    <font>
      <sz val="11"/>
      <color theme="1"/>
      <name val="Calibri"/>
      <family val="2"/>
      <scheme val="minor"/>
    </font>
    <font>
      <sz val="8"/>
      <name val="Verdana"/>
      <family val="2"/>
    </font>
    <font>
      <b/>
      <sz val="8"/>
      <color indexed="9"/>
      <name val="Verdana"/>
      <family val="2"/>
    </font>
    <font>
      <sz val="10"/>
      <name val="Arial"/>
      <family val="2"/>
    </font>
    <font>
      <b/>
      <sz val="8"/>
      <name val="Verdana"/>
      <family val="2"/>
    </font>
    <font>
      <sz val="10"/>
      <color indexed="2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indexed="22"/>
        <bgColor indexed="64"/>
      </patternFill>
    </fill>
  </fills>
  <borders count="1">
    <border>
      <left/>
      <right/>
      <top/>
      <bottom/>
      <diagonal/>
    </border>
  </borders>
  <cellStyleXfs count="9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" fillId="0" borderId="0">
      <alignment vertical="center"/>
    </xf>
    <xf numFmtId="3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0" fontId="3" fillId="0" borderId="0"/>
  </cellStyleXfs>
  <cellXfs count="29">
    <xf numFmtId="0" fontId="0" fillId="0" borderId="0" xfId="0"/>
    <xf numFmtId="42" fontId="2" fillId="2" borderId="0" xfId="3" applyNumberFormat="1" applyFont="1" applyFill="1" applyBorder="1" applyAlignment="1">
      <alignment vertical="center"/>
    </xf>
    <xf numFmtId="0" fontId="1" fillId="0" borderId="0" xfId="3" applyFont="1" applyAlignment="1">
      <alignment vertical="center"/>
    </xf>
    <xf numFmtId="165" fontId="4" fillId="3" borderId="0" xfId="1" applyNumberFormat="1" applyFont="1" applyFill="1" applyBorder="1" applyAlignment="1">
      <alignment vertical="center"/>
    </xf>
    <xf numFmtId="0" fontId="4" fillId="3" borderId="0" xfId="3" applyFont="1" applyFill="1" applyBorder="1" applyAlignment="1">
      <alignment horizontal="right" vertical="center"/>
    </xf>
    <xf numFmtId="165" fontId="1" fillId="0" borderId="0" xfId="1" applyNumberFormat="1" applyFont="1" applyBorder="1" applyAlignment="1">
      <alignment vertical="center"/>
    </xf>
    <xf numFmtId="3" fontId="1" fillId="0" borderId="0" xfId="3" applyNumberFormat="1" applyFont="1" applyAlignment="1">
      <alignment vertical="center"/>
    </xf>
    <xf numFmtId="9" fontId="1" fillId="0" borderId="0" xfId="2" applyFont="1" applyAlignment="1">
      <alignment vertical="center"/>
    </xf>
    <xf numFmtId="0" fontId="4" fillId="3" borderId="0" xfId="3" applyFont="1" applyFill="1" applyBorder="1" applyAlignment="1">
      <alignment horizontal="center" vertical="center"/>
    </xf>
    <xf numFmtId="0" fontId="1" fillId="0" borderId="0" xfId="3" applyAlignment="1">
      <alignment horizontal="center" vertical="center"/>
    </xf>
    <xf numFmtId="0" fontId="1" fillId="0" borderId="0" xfId="3" applyFont="1" applyAlignment="1">
      <alignment horizontal="center" vertical="center"/>
    </xf>
    <xf numFmtId="9" fontId="1" fillId="0" borderId="0" xfId="3" applyNumberFormat="1" applyAlignment="1">
      <alignment horizontal="center" vertical="center"/>
    </xf>
    <xf numFmtId="9" fontId="1" fillId="0" borderId="0" xfId="3" applyNumberFormat="1" applyFont="1" applyAlignment="1">
      <alignment vertical="center"/>
    </xf>
    <xf numFmtId="0" fontId="1" fillId="0" borderId="0" xfId="3">
      <alignment vertical="center"/>
    </xf>
    <xf numFmtId="3" fontId="4" fillId="0" borderId="0" xfId="3" applyNumberFormat="1" applyFont="1" applyAlignment="1">
      <alignment vertical="center"/>
    </xf>
    <xf numFmtId="3" fontId="4" fillId="3" borderId="0" xfId="3" applyNumberFormat="1" applyFont="1" applyFill="1" applyAlignment="1">
      <alignment horizontal="center" vertical="center"/>
    </xf>
    <xf numFmtId="3" fontId="4" fillId="3" borderId="0" xfId="3" applyNumberFormat="1" applyFont="1" applyFill="1" applyAlignment="1">
      <alignment vertical="center"/>
    </xf>
    <xf numFmtId="9" fontId="1" fillId="0" borderId="0" xfId="2" applyNumberFormat="1" applyFont="1" applyAlignment="1">
      <alignment vertical="center"/>
    </xf>
    <xf numFmtId="42" fontId="2" fillId="2" borderId="0" xfId="3" applyNumberFormat="1" applyFont="1" applyFill="1" applyBorder="1" applyAlignment="1">
      <alignment horizontal="left" vertical="center"/>
    </xf>
    <xf numFmtId="165" fontId="4" fillId="0" borderId="0" xfId="1" applyNumberFormat="1" applyFont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4" fillId="3" borderId="0" xfId="3" applyNumberFormat="1" applyFont="1" applyFill="1" applyBorder="1" applyAlignment="1">
      <alignment vertical="center"/>
    </xf>
    <xf numFmtId="0" fontId="1" fillId="3" borderId="0" xfId="3" applyFont="1" applyFill="1" applyAlignment="1">
      <alignment vertical="center"/>
    </xf>
    <xf numFmtId="166" fontId="4" fillId="3" borderId="0" xfId="2" applyNumberFormat="1" applyFont="1" applyFill="1" applyBorder="1" applyAlignment="1">
      <alignment vertical="center"/>
    </xf>
    <xf numFmtId="164" fontId="4" fillId="3" borderId="0" xfId="3" applyNumberFormat="1" applyFont="1" applyFill="1" applyBorder="1" applyAlignment="1">
      <alignment vertical="center"/>
    </xf>
    <xf numFmtId="42" fontId="2" fillId="2" borderId="0" xfId="3" applyNumberFormat="1" applyFont="1" applyFill="1" applyBorder="1" applyAlignment="1">
      <alignment horizontal="left" vertical="center"/>
    </xf>
    <xf numFmtId="42" fontId="2" fillId="2" borderId="0" xfId="3" applyNumberFormat="1" applyFont="1" applyFill="1" applyBorder="1" applyAlignment="1">
      <alignment horizontal="left" vertical="center"/>
    </xf>
    <xf numFmtId="42" fontId="2" fillId="2" borderId="0" xfId="3" applyNumberFormat="1" applyFont="1" applyFill="1" applyBorder="1" applyAlignment="1">
      <alignment horizontal="left" vertical="center"/>
    </xf>
    <xf numFmtId="42" fontId="2" fillId="2" borderId="0" xfId="3" applyNumberFormat="1" applyFont="1" applyFill="1" applyBorder="1" applyAlignment="1">
      <alignment horizontal="left" vertical="center"/>
    </xf>
  </cellXfs>
  <cellStyles count="9">
    <cellStyle name="Comma" xfId="1" builtinId="3"/>
    <cellStyle name="Comma0" xfId="4"/>
    <cellStyle name="Currency0" xfId="5"/>
    <cellStyle name="Date" xfId="6"/>
    <cellStyle name="Fixed" xfId="7"/>
    <cellStyle name="Normal" xfId="0" builtinId="0"/>
    <cellStyle name="Normal 2" xfId="3"/>
    <cellStyle name="Normal 3" xfId="8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tabSelected="1" workbookViewId="0">
      <selection activeCell="A5" sqref="A5"/>
    </sheetView>
  </sheetViews>
  <sheetFormatPr defaultRowHeight="10.5" x14ac:dyDescent="0.25"/>
  <cols>
    <col min="1" max="1" width="30.28515625" style="13" customWidth="1"/>
    <col min="2" max="5" width="8.85546875" style="13" customWidth="1"/>
    <col min="6" max="16384" width="9.140625" style="13"/>
  </cols>
  <sheetData>
    <row r="1" spans="1:5" s="2" customFormat="1" ht="14.25" customHeight="1" x14ac:dyDescent="0.25">
      <c r="A1" s="1" t="s">
        <v>0</v>
      </c>
      <c r="B1" s="1"/>
      <c r="C1" s="1"/>
      <c r="D1" s="1"/>
      <c r="E1" s="1"/>
    </row>
    <row r="2" spans="1:5" s="2" customFormat="1" x14ac:dyDescent="0.25">
      <c r="A2" s="3" t="s">
        <v>1</v>
      </c>
      <c r="B2" s="4">
        <v>0</v>
      </c>
      <c r="C2" s="4">
        <v>1</v>
      </c>
      <c r="D2" s="4">
        <v>2</v>
      </c>
      <c r="E2" s="4">
        <v>3</v>
      </c>
    </row>
    <row r="3" spans="1:5" s="2" customFormat="1" x14ac:dyDescent="0.25">
      <c r="A3" s="5" t="s">
        <v>2</v>
      </c>
      <c r="B3" s="6" t="s">
        <v>3</v>
      </c>
      <c r="C3" s="6">
        <v>1800</v>
      </c>
      <c r="D3" s="6">
        <v>2500</v>
      </c>
      <c r="E3" s="6">
        <v>2500</v>
      </c>
    </row>
    <row r="4" spans="1:5" s="2" customFormat="1" x14ac:dyDescent="0.25">
      <c r="A4" s="5" t="s">
        <v>4</v>
      </c>
      <c r="B4" s="6"/>
      <c r="C4" s="7">
        <v>0.3</v>
      </c>
      <c r="D4" s="7">
        <v>0.3</v>
      </c>
      <c r="E4" s="7">
        <v>0.3</v>
      </c>
    </row>
    <row r="5" spans="1:5" s="2" customFormat="1" x14ac:dyDescent="0.25">
      <c r="A5" s="5" t="s">
        <v>5</v>
      </c>
      <c r="B5" s="6"/>
      <c r="C5" s="6">
        <v>500</v>
      </c>
      <c r="D5" s="6">
        <v>750</v>
      </c>
      <c r="E5" s="6">
        <v>750</v>
      </c>
    </row>
    <row r="6" spans="1:5" s="2" customFormat="1" x14ac:dyDescent="0.25">
      <c r="A6" s="5" t="s">
        <v>6</v>
      </c>
      <c r="B6" s="6">
        <v>2500</v>
      </c>
      <c r="C6" s="6"/>
      <c r="D6" s="6"/>
      <c r="E6" s="6"/>
    </row>
    <row r="7" spans="1:5" s="2" customFormat="1" x14ac:dyDescent="0.25"/>
    <row r="8" spans="1:5" s="2" customFormat="1" x14ac:dyDescent="0.25"/>
    <row r="9" spans="1:5" s="2" customFormat="1" ht="14.25" customHeight="1" x14ac:dyDescent="0.25">
      <c r="A9" s="1" t="s">
        <v>7</v>
      </c>
      <c r="B9" s="1"/>
      <c r="C9" s="1"/>
    </row>
    <row r="10" spans="1:5" s="2" customFormat="1" x14ac:dyDescent="0.25">
      <c r="A10" s="3" t="s">
        <v>8</v>
      </c>
      <c r="B10" s="8" t="s">
        <v>9</v>
      </c>
      <c r="C10" s="8" t="s">
        <v>10</v>
      </c>
    </row>
    <row r="11" spans="1:5" s="2" customFormat="1" x14ac:dyDescent="0.25">
      <c r="A11" s="5" t="s">
        <v>11</v>
      </c>
      <c r="B11" s="9" t="s">
        <v>12</v>
      </c>
      <c r="C11" s="2">
        <v>3</v>
      </c>
    </row>
    <row r="12" spans="1:5" s="2" customFormat="1" x14ac:dyDescent="0.25">
      <c r="A12" s="5" t="s">
        <v>13</v>
      </c>
      <c r="B12" s="10"/>
      <c r="C12" s="2">
        <v>3000</v>
      </c>
    </row>
    <row r="13" spans="1:5" s="2" customFormat="1" x14ac:dyDescent="0.25">
      <c r="A13" s="5" t="s">
        <v>14</v>
      </c>
      <c r="B13" s="11" t="s">
        <v>15</v>
      </c>
      <c r="C13" s="12">
        <v>0.25</v>
      </c>
    </row>
    <row r="14" spans="1:5" s="2" customFormat="1" x14ac:dyDescent="0.25">
      <c r="A14" s="5" t="s">
        <v>16</v>
      </c>
      <c r="B14" s="9" t="s">
        <v>17</v>
      </c>
      <c r="C14" s="2">
        <v>5</v>
      </c>
    </row>
    <row r="15" spans="1:5" s="2" customFormat="1" x14ac:dyDescent="0.25">
      <c r="A15" s="5" t="s">
        <v>18</v>
      </c>
      <c r="B15" s="9" t="s">
        <v>17</v>
      </c>
      <c r="C15" s="2">
        <v>2</v>
      </c>
    </row>
    <row r="16" spans="1:5" s="2" customFormat="1" x14ac:dyDescent="0.25">
      <c r="A16" s="5" t="s">
        <v>19</v>
      </c>
      <c r="B16" s="9" t="s">
        <v>17</v>
      </c>
      <c r="C16" s="2">
        <v>6</v>
      </c>
    </row>
    <row r="17" spans="1:3" s="2" customFormat="1" x14ac:dyDescent="0.25">
      <c r="A17" s="5" t="s">
        <v>20</v>
      </c>
      <c r="B17" s="11" t="s">
        <v>15</v>
      </c>
      <c r="C17" s="12">
        <v>0.4</v>
      </c>
    </row>
    <row r="18" spans="1:3" s="2" customFormat="1" x14ac:dyDescent="0.25">
      <c r="A18" s="5" t="s">
        <v>21</v>
      </c>
      <c r="B18" s="9" t="s">
        <v>15</v>
      </c>
      <c r="C18" s="12">
        <v>0.08</v>
      </c>
    </row>
    <row r="19" spans="1:3" s="2" customFormat="1" x14ac:dyDescent="0.25">
      <c r="A19" s="2" t="s">
        <v>3</v>
      </c>
    </row>
    <row r="20" spans="1:3" s="2" customFormat="1" x14ac:dyDescent="0.25"/>
  </sheetData>
  <pageMargins left="0.75" right="0.75" top="1" bottom="1" header="0" footer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0"/>
  <sheetViews>
    <sheetView topLeftCell="A22" zoomScaleNormal="100" workbookViewId="0">
      <selection activeCell="A62" sqref="A62:XFD69"/>
    </sheetView>
  </sheetViews>
  <sheetFormatPr defaultRowHeight="10.5" x14ac:dyDescent="0.25"/>
  <cols>
    <col min="1" max="1" width="34.85546875" style="2" customWidth="1"/>
    <col min="2" max="5" width="8.85546875" style="2" customWidth="1"/>
    <col min="6" max="16384" width="9.140625" style="2"/>
  </cols>
  <sheetData>
    <row r="1" spans="1:6" ht="14.25" customHeight="1" x14ac:dyDescent="0.25">
      <c r="A1" s="18" t="s">
        <v>22</v>
      </c>
      <c r="B1" s="18"/>
      <c r="C1" s="18"/>
      <c r="D1" s="18"/>
      <c r="E1" s="18"/>
      <c r="F1" s="18"/>
    </row>
    <row r="2" spans="1:6" x14ac:dyDescent="0.25">
      <c r="A2" s="3" t="s">
        <v>23</v>
      </c>
      <c r="B2" s="4">
        <v>0</v>
      </c>
      <c r="C2" s="4">
        <v>1</v>
      </c>
      <c r="D2" s="4">
        <v>2</v>
      </c>
      <c r="E2" s="4">
        <v>3</v>
      </c>
      <c r="F2" s="4" t="s">
        <v>24</v>
      </c>
    </row>
    <row r="3" spans="1:6" x14ac:dyDescent="0.25">
      <c r="A3" s="5" t="s">
        <v>25</v>
      </c>
      <c r="B3" s="6">
        <f>Dados1!B6</f>
        <v>2500</v>
      </c>
      <c r="C3" s="6"/>
      <c r="D3" s="6"/>
      <c r="E3" s="6"/>
      <c r="F3" s="14">
        <f>SUM(B3:E3)</f>
        <v>2500</v>
      </c>
    </row>
    <row r="4" spans="1:6" x14ac:dyDescent="0.25">
      <c r="A4" s="3" t="s">
        <v>26</v>
      </c>
      <c r="B4" s="15" t="s">
        <v>15</v>
      </c>
      <c r="C4" s="16"/>
      <c r="D4" s="16"/>
      <c r="E4" s="16"/>
      <c r="F4" s="16"/>
    </row>
    <row r="5" spans="1:6" x14ac:dyDescent="0.25">
      <c r="A5" s="5" t="s">
        <v>25</v>
      </c>
      <c r="B5" s="17">
        <f>Dados1!C13</f>
        <v>0.25</v>
      </c>
      <c r="C5" s="6">
        <f>$B$5*$B$3</f>
        <v>625</v>
      </c>
      <c r="D5" s="6">
        <f>$B$5*$B$3</f>
        <v>625</v>
      </c>
      <c r="E5" s="6">
        <f>$B$5*$B$3</f>
        <v>625</v>
      </c>
      <c r="F5" s="14">
        <f>SUM(C5:E5)</f>
        <v>1875</v>
      </c>
    </row>
    <row r="6" spans="1:6" x14ac:dyDescent="0.25">
      <c r="A6" s="3" t="s">
        <v>27</v>
      </c>
      <c r="B6" s="16">
        <f>B3</f>
        <v>2500</v>
      </c>
      <c r="C6" s="16">
        <f>B6-C5</f>
        <v>1875</v>
      </c>
      <c r="D6" s="16">
        <f>C6-D5</f>
        <v>1250</v>
      </c>
      <c r="E6" s="16">
        <f>D6-E5</f>
        <v>625</v>
      </c>
      <c r="F6" s="16">
        <f>F3-F5</f>
        <v>625</v>
      </c>
    </row>
    <row r="9" spans="1:6" ht="14.25" customHeight="1" x14ac:dyDescent="0.25">
      <c r="A9" s="28" t="s">
        <v>28</v>
      </c>
      <c r="B9" s="28"/>
      <c r="C9" s="28"/>
      <c r="D9" s="28"/>
      <c r="E9" s="28"/>
    </row>
    <row r="10" spans="1:6" x14ac:dyDescent="0.25">
      <c r="A10" s="3" t="s">
        <v>1</v>
      </c>
      <c r="B10" s="4"/>
      <c r="C10" s="4">
        <v>1</v>
      </c>
      <c r="D10" s="4">
        <v>2</v>
      </c>
      <c r="E10" s="4">
        <v>3</v>
      </c>
    </row>
    <row r="11" spans="1:6" x14ac:dyDescent="0.25">
      <c r="A11" s="5" t="s">
        <v>2</v>
      </c>
      <c r="B11" s="6"/>
      <c r="C11" s="6">
        <f>Dados1!C3</f>
        <v>1800</v>
      </c>
      <c r="D11" s="6">
        <f>Dados1!D3</f>
        <v>2500</v>
      </c>
      <c r="E11" s="6">
        <f>Dados1!E3</f>
        <v>2500</v>
      </c>
    </row>
    <row r="12" spans="1:6" x14ac:dyDescent="0.25">
      <c r="A12" s="5" t="s">
        <v>29</v>
      </c>
      <c r="B12" s="6"/>
      <c r="C12" s="6">
        <f>Dados1!C4*Resolução1!C11</f>
        <v>540</v>
      </c>
      <c r="D12" s="6">
        <f>Dados1!D4*Resolução1!D11</f>
        <v>750</v>
      </c>
      <c r="E12" s="6">
        <f>Dados1!E4*Resolução1!E11</f>
        <v>750</v>
      </c>
    </row>
    <row r="13" spans="1:6" x14ac:dyDescent="0.25">
      <c r="A13" s="5" t="s">
        <v>5</v>
      </c>
      <c r="B13" s="6"/>
      <c r="C13" s="6">
        <f>Dados1!C5</f>
        <v>500</v>
      </c>
      <c r="D13" s="6">
        <f>Dados1!D5</f>
        <v>750</v>
      </c>
      <c r="E13" s="6">
        <f>Dados1!E5</f>
        <v>750</v>
      </c>
    </row>
    <row r="14" spans="1:6" x14ac:dyDescent="0.25">
      <c r="A14" s="3" t="s">
        <v>30</v>
      </c>
      <c r="B14" s="16"/>
      <c r="C14" s="16">
        <f>C11-C12-C13</f>
        <v>760</v>
      </c>
      <c r="D14" s="16">
        <f>D11-D12-D13</f>
        <v>1000</v>
      </c>
      <c r="E14" s="16">
        <f>E11-E12-E13</f>
        <v>1000</v>
      </c>
    </row>
    <row r="15" spans="1:6" x14ac:dyDescent="0.25">
      <c r="A15" s="5" t="s">
        <v>26</v>
      </c>
      <c r="B15" s="6"/>
      <c r="C15" s="6">
        <f>C5</f>
        <v>625</v>
      </c>
      <c r="D15" s="6">
        <f>D5</f>
        <v>625</v>
      </c>
      <c r="E15" s="6">
        <f>E5</f>
        <v>625</v>
      </c>
    </row>
    <row r="16" spans="1:6" x14ac:dyDescent="0.25">
      <c r="A16" s="3" t="s">
        <v>31</v>
      </c>
      <c r="B16" s="16"/>
      <c r="C16" s="16">
        <f>C14-C15</f>
        <v>135</v>
      </c>
      <c r="D16" s="16">
        <f>D14-D15</f>
        <v>375</v>
      </c>
      <c r="E16" s="16">
        <f>E14-E15</f>
        <v>375</v>
      </c>
    </row>
    <row r="17" spans="1:5" x14ac:dyDescent="0.25">
      <c r="A17" s="5" t="s">
        <v>32</v>
      </c>
      <c r="B17" s="6"/>
      <c r="C17" s="6">
        <f>C16*Dados1!$C$17</f>
        <v>54</v>
      </c>
      <c r="D17" s="6">
        <f>D16*Dados1!$C$17</f>
        <v>150</v>
      </c>
      <c r="E17" s="6">
        <f>E16*Dados1!$C$17</f>
        <v>150</v>
      </c>
    </row>
    <row r="18" spans="1:5" x14ac:dyDescent="0.25">
      <c r="A18" s="3" t="s">
        <v>33</v>
      </c>
      <c r="B18" s="16"/>
      <c r="C18" s="16">
        <f>C16-C17</f>
        <v>81</v>
      </c>
      <c r="D18" s="16">
        <f>D16-D17</f>
        <v>225</v>
      </c>
      <c r="E18" s="16">
        <f>E16-E17</f>
        <v>225</v>
      </c>
    </row>
    <row r="19" spans="1:5" x14ac:dyDescent="0.25">
      <c r="A19" s="3" t="s">
        <v>34</v>
      </c>
      <c r="B19" s="16"/>
      <c r="C19" s="16">
        <f>C18+C15</f>
        <v>706</v>
      </c>
      <c r="D19" s="16">
        <f>D18+D15</f>
        <v>850</v>
      </c>
      <c r="E19" s="16">
        <f>E18+E15</f>
        <v>850</v>
      </c>
    </row>
    <row r="22" spans="1:5" ht="14.25" customHeight="1" x14ac:dyDescent="0.25">
      <c r="A22" s="28" t="s">
        <v>35</v>
      </c>
      <c r="B22" s="28"/>
      <c r="C22" s="28"/>
      <c r="D22" s="28"/>
      <c r="E22" s="28"/>
    </row>
    <row r="23" spans="1:5" x14ac:dyDescent="0.25">
      <c r="A23" s="3" t="s">
        <v>1</v>
      </c>
      <c r="B23" s="4"/>
      <c r="C23" s="4">
        <v>1</v>
      </c>
      <c r="D23" s="4">
        <v>2</v>
      </c>
      <c r="E23" s="4">
        <v>3</v>
      </c>
    </row>
    <row r="24" spans="1:5" x14ac:dyDescent="0.25">
      <c r="A24" s="5" t="s">
        <v>36</v>
      </c>
      <c r="B24" s="6"/>
      <c r="C24" s="6">
        <f>C12</f>
        <v>540</v>
      </c>
      <c r="D24" s="6">
        <f>D12</f>
        <v>750</v>
      </c>
      <c r="E24" s="6">
        <f>E12</f>
        <v>750</v>
      </c>
    </row>
    <row r="25" spans="1:5" x14ac:dyDescent="0.25">
      <c r="A25" s="5" t="s">
        <v>37</v>
      </c>
      <c r="B25" s="6"/>
      <c r="C25" s="6">
        <v>0</v>
      </c>
      <c r="D25" s="6">
        <f>C26</f>
        <v>270</v>
      </c>
      <c r="E25" s="6">
        <f>D26</f>
        <v>375</v>
      </c>
    </row>
    <row r="26" spans="1:5" x14ac:dyDescent="0.25">
      <c r="A26" s="5" t="s">
        <v>38</v>
      </c>
      <c r="B26" s="6"/>
      <c r="C26" s="6">
        <f>C24*Dados1!$C$16/12</f>
        <v>270</v>
      </c>
      <c r="D26" s="6">
        <f>D24*Dados1!$C$16/12</f>
        <v>375</v>
      </c>
      <c r="E26" s="6">
        <f>E24*Dados1!$C$16/12</f>
        <v>375</v>
      </c>
    </row>
    <row r="27" spans="1:5" x14ac:dyDescent="0.25">
      <c r="A27" s="3" t="s">
        <v>39</v>
      </c>
      <c r="B27" s="16"/>
      <c r="C27" s="16">
        <f>C24-C25+C26</f>
        <v>810</v>
      </c>
      <c r="D27" s="16">
        <f>D24-D25+D26</f>
        <v>855</v>
      </c>
      <c r="E27" s="16">
        <f>E24-E25+E26</f>
        <v>750</v>
      </c>
    </row>
    <row r="30" spans="1:5" ht="14.25" customHeight="1" x14ac:dyDescent="0.25">
      <c r="A30" s="28" t="s">
        <v>40</v>
      </c>
      <c r="B30" s="28"/>
      <c r="C30" s="28"/>
      <c r="D30" s="28"/>
      <c r="E30" s="28"/>
    </row>
    <row r="31" spans="1:5" x14ac:dyDescent="0.25">
      <c r="A31" s="3" t="s">
        <v>41</v>
      </c>
      <c r="B31" s="4"/>
      <c r="C31" s="4">
        <v>1</v>
      </c>
      <c r="D31" s="4">
        <v>2</v>
      </c>
      <c r="E31" s="4">
        <v>3</v>
      </c>
    </row>
    <row r="32" spans="1:5" x14ac:dyDescent="0.25">
      <c r="A32" s="5" t="s">
        <v>42</v>
      </c>
      <c r="B32" s="6"/>
      <c r="C32" s="6">
        <f>C11*Dados1!$C$14/12</f>
        <v>750</v>
      </c>
      <c r="D32" s="6">
        <f>D11*Dados1!$C$14/12</f>
        <v>1041.6666666666667</v>
      </c>
      <c r="E32" s="6">
        <f>E11*Dados1!$C$14/12</f>
        <v>1041.6666666666667</v>
      </c>
    </row>
    <row r="33" spans="1:5" x14ac:dyDescent="0.25">
      <c r="A33" s="5" t="s">
        <v>43</v>
      </c>
      <c r="B33" s="6"/>
      <c r="C33" s="6">
        <f>C26</f>
        <v>270</v>
      </c>
      <c r="D33" s="6">
        <f>D26</f>
        <v>375</v>
      </c>
      <c r="E33" s="6">
        <f>E26</f>
        <v>375</v>
      </c>
    </row>
    <row r="34" spans="1:5" x14ac:dyDescent="0.25">
      <c r="A34" s="3" t="s">
        <v>44</v>
      </c>
      <c r="B34" s="3"/>
      <c r="C34" s="6"/>
      <c r="D34" s="6"/>
      <c r="E34" s="6"/>
    </row>
    <row r="35" spans="1:5" x14ac:dyDescent="0.25">
      <c r="A35" s="5" t="s">
        <v>45</v>
      </c>
      <c r="B35" s="6"/>
      <c r="C35" s="6">
        <f>C27*Dados1!$C$15/12</f>
        <v>135</v>
      </c>
      <c r="D35" s="6">
        <f>D27*Dados1!$C$15/12</f>
        <v>142.5</v>
      </c>
      <c r="E35" s="6">
        <f>E27*Dados1!$C$15/12</f>
        <v>125</v>
      </c>
    </row>
    <row r="36" spans="1:5" x14ac:dyDescent="0.25">
      <c r="A36" s="3" t="s">
        <v>46</v>
      </c>
      <c r="B36" s="16"/>
      <c r="C36" s="16">
        <f>C32+C33-C35</f>
        <v>885</v>
      </c>
      <c r="D36" s="16">
        <f>D32+D33-D35</f>
        <v>1274.1666666666667</v>
      </c>
      <c r="E36" s="16">
        <f>E32+E33-E35</f>
        <v>1291.6666666666667</v>
      </c>
    </row>
    <row r="37" spans="1:5" x14ac:dyDescent="0.25">
      <c r="A37" s="3" t="s">
        <v>47</v>
      </c>
      <c r="B37" s="16"/>
      <c r="C37" s="16">
        <f>C36-B36</f>
        <v>885</v>
      </c>
      <c r="D37" s="16">
        <f>D36-C36</f>
        <v>389.16666666666674</v>
      </c>
      <c r="E37" s="16">
        <f>E36-D36</f>
        <v>17.5</v>
      </c>
    </row>
    <row r="40" spans="1:5" ht="15" customHeight="1" x14ac:dyDescent="0.25">
      <c r="A40" s="28" t="s">
        <v>48</v>
      </c>
      <c r="B40" s="28"/>
      <c r="C40" s="28"/>
      <c r="D40" s="28"/>
      <c r="E40" s="28"/>
    </row>
    <row r="41" spans="1:5" x14ac:dyDescent="0.25">
      <c r="A41" s="3" t="s">
        <v>44</v>
      </c>
      <c r="B41" s="4">
        <v>0</v>
      </c>
      <c r="C41" s="4">
        <v>1</v>
      </c>
      <c r="D41" s="4">
        <v>2</v>
      </c>
      <c r="E41" s="4">
        <v>3</v>
      </c>
    </row>
    <row r="42" spans="1:5" x14ac:dyDescent="0.25">
      <c r="A42" s="5" t="s">
        <v>49</v>
      </c>
      <c r="B42" s="6"/>
      <c r="C42" s="6">
        <f>C19</f>
        <v>706</v>
      </c>
      <c r="D42" s="6">
        <f>D19</f>
        <v>850</v>
      </c>
      <c r="E42" s="6">
        <f>E19</f>
        <v>850</v>
      </c>
    </row>
    <row r="43" spans="1:5" x14ac:dyDescent="0.25">
      <c r="A43" s="5" t="s">
        <v>50</v>
      </c>
      <c r="B43" s="6"/>
      <c r="C43" s="6"/>
      <c r="D43" s="6"/>
      <c r="E43" s="6">
        <v>3000</v>
      </c>
    </row>
    <row r="44" spans="1:5" x14ac:dyDescent="0.25">
      <c r="A44" s="19" t="s">
        <v>24</v>
      </c>
      <c r="B44" s="16">
        <f>B42+B43</f>
        <v>0</v>
      </c>
      <c r="C44" s="16">
        <f>C42+C43</f>
        <v>706</v>
      </c>
      <c r="D44" s="16">
        <f>D42+D43</f>
        <v>850</v>
      </c>
      <c r="E44" s="16">
        <f>E42+E43</f>
        <v>3850</v>
      </c>
    </row>
    <row r="45" spans="1:5" x14ac:dyDescent="0.25">
      <c r="A45" s="3" t="s">
        <v>41</v>
      </c>
      <c r="B45" s="6"/>
      <c r="C45" s="6"/>
      <c r="D45" s="6"/>
      <c r="E45" s="6"/>
    </row>
    <row r="46" spans="1:5" x14ac:dyDescent="0.25">
      <c r="A46" s="5" t="s">
        <v>51</v>
      </c>
      <c r="B46" s="6">
        <f>B3</f>
        <v>2500</v>
      </c>
      <c r="C46" s="6"/>
      <c r="D46" s="6"/>
      <c r="E46" s="6"/>
    </row>
    <row r="47" spans="1:5" x14ac:dyDescent="0.25">
      <c r="A47" s="5" t="s">
        <v>52</v>
      </c>
      <c r="B47" s="6"/>
      <c r="C47" s="6">
        <f>C37</f>
        <v>885</v>
      </c>
      <c r="D47" s="6">
        <f>D37</f>
        <v>389.16666666666674</v>
      </c>
      <c r="E47" s="6">
        <f>E37</f>
        <v>17.5</v>
      </c>
    </row>
    <row r="48" spans="1:5" x14ac:dyDescent="0.25">
      <c r="A48" s="19" t="s">
        <v>24</v>
      </c>
      <c r="B48" s="16">
        <f>B46+B47</f>
        <v>2500</v>
      </c>
      <c r="C48" s="16">
        <f>C46+C47</f>
        <v>885</v>
      </c>
      <c r="D48" s="16">
        <f>D46+D47</f>
        <v>389.16666666666674</v>
      </c>
      <c r="E48" s="16">
        <f>E46+E47</f>
        <v>17.5</v>
      </c>
    </row>
    <row r="49" spans="1:5" x14ac:dyDescent="0.25">
      <c r="A49" s="3" t="s">
        <v>53</v>
      </c>
      <c r="B49" s="16">
        <f>B44-B48</f>
        <v>-2500</v>
      </c>
      <c r="C49" s="16">
        <f>C44-C48</f>
        <v>-179</v>
      </c>
      <c r="D49" s="16">
        <f>D44-D48</f>
        <v>460.83333333333326</v>
      </c>
      <c r="E49" s="16">
        <f>E44-E48</f>
        <v>3832.5</v>
      </c>
    </row>
    <row r="50" spans="1:5" x14ac:dyDescent="0.25">
      <c r="A50" s="5" t="s">
        <v>54</v>
      </c>
      <c r="B50" s="6">
        <f>B49/(1+Dados1!$C$18)^B$41</f>
        <v>-2500</v>
      </c>
      <c r="C50" s="6">
        <f>C49/(1+Dados1!$C$18)^C$41</f>
        <v>-165.74074074074073</v>
      </c>
      <c r="D50" s="6">
        <f>D49/(1+Dados1!$C$18)^D$41</f>
        <v>395.09030635573833</v>
      </c>
      <c r="E50" s="6">
        <f>E49/(1+Dados1!$C$18)^E$41</f>
        <v>3042.3620637097997</v>
      </c>
    </row>
    <row r="51" spans="1:5" x14ac:dyDescent="0.25">
      <c r="A51" s="20" t="s">
        <v>55</v>
      </c>
      <c r="B51" s="21">
        <f>SUM(B50:E50)</f>
        <v>771.71162932479729</v>
      </c>
      <c r="C51" s="22"/>
      <c r="D51" s="22"/>
      <c r="E51" s="22"/>
    </row>
    <row r="52" spans="1:5" x14ac:dyDescent="0.25">
      <c r="A52" s="5" t="s">
        <v>54</v>
      </c>
      <c r="B52" s="6">
        <f>B49/(1+$B$53)^B41</f>
        <v>-2500</v>
      </c>
      <c r="C52" s="6">
        <f>C49/(1+$B$53)^C41</f>
        <v>-151.45519816961962</v>
      </c>
      <c r="D52" s="6">
        <f>D49/(1+$B$53)^D41</f>
        <v>329.91813640042199</v>
      </c>
      <c r="E52" s="6">
        <f>E49/(1+$B$53)^E41</f>
        <v>2321.5370617692051</v>
      </c>
    </row>
    <row r="53" spans="1:5" x14ac:dyDescent="0.25">
      <c r="A53" s="20" t="s">
        <v>56</v>
      </c>
      <c r="B53" s="23">
        <f>IRR(B49:E49)</f>
        <v>0.18186765567156082</v>
      </c>
      <c r="C53" s="21">
        <f>SUM(B52:E52)</f>
        <v>7.73070496506989E-12</v>
      </c>
      <c r="D53" s="22"/>
      <c r="E53" s="22"/>
    </row>
    <row r="54" spans="1:5" x14ac:dyDescent="0.25">
      <c r="A54" s="5" t="s">
        <v>57</v>
      </c>
      <c r="B54" s="6">
        <f>B50</f>
        <v>-2500</v>
      </c>
      <c r="C54" s="6">
        <f>B54+C50</f>
        <v>-2665.7407407407409</v>
      </c>
      <c r="D54" s="6">
        <f>C54+D50</f>
        <v>-2270.6504343850024</v>
      </c>
      <c r="E54" s="6">
        <f>D54+E50</f>
        <v>771.71162932479729</v>
      </c>
    </row>
    <row r="55" spans="1:5" x14ac:dyDescent="0.25">
      <c r="A55" s="20" t="s">
        <v>58</v>
      </c>
      <c r="B55" s="24">
        <f>2+(-D54)/E50</f>
        <v>2.7463445792563603</v>
      </c>
      <c r="C55" s="22"/>
      <c r="D55" s="22"/>
      <c r="E55" s="22"/>
    </row>
    <row r="56" spans="1:5" x14ac:dyDescent="0.25">
      <c r="A56" s="5" t="s">
        <v>59</v>
      </c>
      <c r="B56" s="6">
        <f>B49+B46</f>
        <v>0</v>
      </c>
      <c r="C56" s="6">
        <f>C49+C46</f>
        <v>-179</v>
      </c>
      <c r="D56" s="6">
        <f>D49+D46</f>
        <v>460.83333333333326</v>
      </c>
      <c r="E56" s="6">
        <f>E49+E46</f>
        <v>3832.5</v>
      </c>
    </row>
    <row r="57" spans="1:5" x14ac:dyDescent="0.25">
      <c r="A57" s="5" t="s">
        <v>60</v>
      </c>
      <c r="B57" s="6">
        <f>B56/(1+Dados1!$C$18)^B$41</f>
        <v>0</v>
      </c>
      <c r="C57" s="6">
        <f>C56/(1+Dados1!$C$18)^C$41</f>
        <v>-165.74074074074073</v>
      </c>
      <c r="D57" s="6">
        <f>D56/(1+Dados1!$C$18)^D$41</f>
        <v>395.09030635573833</v>
      </c>
      <c r="E57" s="6">
        <f>E56/(1+Dados1!$C$18)^E$41</f>
        <v>3042.3620637097997</v>
      </c>
    </row>
    <row r="58" spans="1:5" x14ac:dyDescent="0.25">
      <c r="A58" s="5" t="s">
        <v>23</v>
      </c>
      <c r="B58" s="6">
        <f>B3</f>
        <v>2500</v>
      </c>
      <c r="C58" s="6">
        <f>C3</f>
        <v>0</v>
      </c>
      <c r="D58" s="6">
        <f>D3</f>
        <v>0</v>
      </c>
      <c r="E58" s="6">
        <f>E3</f>
        <v>0</v>
      </c>
    </row>
    <row r="59" spans="1:5" x14ac:dyDescent="0.25">
      <c r="A59" s="5" t="s">
        <v>61</v>
      </c>
      <c r="B59" s="6">
        <f>B58/(1+Dados1!$C$18)^B$41</f>
        <v>2500</v>
      </c>
      <c r="C59" s="6">
        <f>C58/(1+Dados1!$C$18)^C$41</f>
        <v>0</v>
      </c>
      <c r="D59" s="6">
        <f>D58/(1+Dados1!$C$18)^D$41</f>
        <v>0</v>
      </c>
      <c r="E59" s="6">
        <f>E58/(1+Dados1!$C$18)^E$41</f>
        <v>0</v>
      </c>
    </row>
    <row r="60" spans="1:5" x14ac:dyDescent="0.25">
      <c r="A60" s="20" t="s">
        <v>62</v>
      </c>
      <c r="B60" s="24">
        <f>SUM(B57:E57)/SUM(B59:E59)</f>
        <v>1.3086846517299189</v>
      </c>
      <c r="C60" s="22"/>
      <c r="D60" s="22"/>
      <c r="E60" s="22"/>
    </row>
  </sheetData>
  <mergeCells count="4">
    <mergeCell ref="A9:E9"/>
    <mergeCell ref="A22:E22"/>
    <mergeCell ref="A30:E30"/>
    <mergeCell ref="A40:E40"/>
  </mergeCells>
  <pageMargins left="0.75" right="0.75" top="1" bottom="1" header="0.5" footer="0.5"/>
  <pageSetup paperSize="9" orientation="portrait" horizontalDpi="4294967293" verticalDpi="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3"/>
  <sheetViews>
    <sheetView topLeftCell="A19" zoomScaleNormal="100" workbookViewId="0">
      <selection activeCell="A64" sqref="A64:XFD66"/>
    </sheetView>
  </sheetViews>
  <sheetFormatPr defaultRowHeight="10.5" x14ac:dyDescent="0.25"/>
  <cols>
    <col min="1" max="1" width="34.85546875" style="2" customWidth="1"/>
    <col min="2" max="5" width="8.85546875" style="2" customWidth="1"/>
    <col min="6" max="16384" width="9.140625" style="2"/>
  </cols>
  <sheetData>
    <row r="1" spans="1:6" ht="14.25" customHeight="1" x14ac:dyDescent="0.25">
      <c r="A1" s="27" t="s">
        <v>22</v>
      </c>
      <c r="B1" s="27"/>
      <c r="C1" s="27"/>
      <c r="D1" s="27"/>
      <c r="E1" s="27"/>
      <c r="F1" s="27"/>
    </row>
    <row r="2" spans="1:6" x14ac:dyDescent="0.25">
      <c r="A2" s="3" t="s">
        <v>23</v>
      </c>
      <c r="B2" s="4">
        <v>0</v>
      </c>
      <c r="C2" s="4">
        <v>1</v>
      </c>
      <c r="D2" s="4">
        <v>2</v>
      </c>
      <c r="E2" s="4">
        <v>3</v>
      </c>
      <c r="F2" s="4" t="s">
        <v>24</v>
      </c>
    </row>
    <row r="3" spans="1:6" x14ac:dyDescent="0.25">
      <c r="A3" s="5" t="s">
        <v>25</v>
      </c>
      <c r="B3" s="6">
        <f>Dados1!B6</f>
        <v>2500</v>
      </c>
      <c r="C3" s="6"/>
      <c r="D3" s="6"/>
      <c r="E3" s="6"/>
      <c r="F3" s="14">
        <f>SUM(B3:E3)</f>
        <v>2500</v>
      </c>
    </row>
    <row r="4" spans="1:6" x14ac:dyDescent="0.25">
      <c r="A4" s="3" t="s">
        <v>26</v>
      </c>
      <c r="B4" s="15" t="s">
        <v>15</v>
      </c>
      <c r="C4" s="16"/>
      <c r="D4" s="16"/>
      <c r="E4" s="16"/>
      <c r="F4" s="16"/>
    </row>
    <row r="5" spans="1:6" x14ac:dyDescent="0.25">
      <c r="A5" s="5" t="s">
        <v>25</v>
      </c>
      <c r="B5" s="17">
        <f>Dados1!C13</f>
        <v>0.25</v>
      </c>
      <c r="C5" s="6">
        <f>$B$5*$B$3</f>
        <v>625</v>
      </c>
      <c r="D5" s="6">
        <f>$B$5*$B$3</f>
        <v>625</v>
      </c>
      <c r="E5" s="6">
        <f>$B$5*$B$3</f>
        <v>625</v>
      </c>
      <c r="F5" s="14">
        <f>SUM(C5:E5)</f>
        <v>1875</v>
      </c>
    </row>
    <row r="6" spans="1:6" x14ac:dyDescent="0.25">
      <c r="A6" s="3" t="s">
        <v>27</v>
      </c>
      <c r="B6" s="16">
        <f>B3</f>
        <v>2500</v>
      </c>
      <c r="C6" s="16">
        <f>B6-C5</f>
        <v>1875</v>
      </c>
      <c r="D6" s="16">
        <f>C6-D5</f>
        <v>1250</v>
      </c>
      <c r="E6" s="16">
        <f>D6-E5</f>
        <v>625</v>
      </c>
      <c r="F6" s="16">
        <f>F3-F5</f>
        <v>625</v>
      </c>
    </row>
    <row r="9" spans="1:6" ht="14.25" customHeight="1" x14ac:dyDescent="0.25">
      <c r="A9" s="28" t="s">
        <v>28</v>
      </c>
      <c r="B9" s="28"/>
      <c r="C9" s="28"/>
      <c r="D9" s="28"/>
      <c r="E9" s="28"/>
    </row>
    <row r="10" spans="1:6" x14ac:dyDescent="0.25">
      <c r="A10" s="3" t="s">
        <v>1</v>
      </c>
      <c r="B10" s="4"/>
      <c r="C10" s="4">
        <v>1</v>
      </c>
      <c r="D10" s="4">
        <v>2</v>
      </c>
      <c r="E10" s="4">
        <v>3</v>
      </c>
    </row>
    <row r="11" spans="1:6" x14ac:dyDescent="0.25">
      <c r="A11" s="5" t="s">
        <v>2</v>
      </c>
      <c r="B11" s="6"/>
      <c r="C11" s="6">
        <f>Dados1!C3</f>
        <v>1800</v>
      </c>
      <c r="D11" s="6">
        <f>Dados1!D3</f>
        <v>2500</v>
      </c>
      <c r="E11" s="6">
        <f>Dados1!E3</f>
        <v>2500</v>
      </c>
    </row>
    <row r="12" spans="1:6" x14ac:dyDescent="0.25">
      <c r="A12" s="5" t="s">
        <v>29</v>
      </c>
      <c r="B12" s="6"/>
      <c r="C12" s="6">
        <f>Dados1!C4*'Resolução1 (VRL)'!C11</f>
        <v>540</v>
      </c>
      <c r="D12" s="6">
        <f>Dados1!D4*'Resolução1 (VRL)'!D11</f>
        <v>750</v>
      </c>
      <c r="E12" s="6">
        <f>Dados1!E4*'Resolução1 (VRL)'!E11</f>
        <v>750</v>
      </c>
    </row>
    <row r="13" spans="1:6" x14ac:dyDescent="0.25">
      <c r="A13" s="5" t="s">
        <v>5</v>
      </c>
      <c r="B13" s="6"/>
      <c r="C13" s="6">
        <f>Dados1!C5</f>
        <v>500</v>
      </c>
      <c r="D13" s="6">
        <f>Dados1!D5</f>
        <v>750</v>
      </c>
      <c r="E13" s="6">
        <f>Dados1!E5</f>
        <v>750</v>
      </c>
    </row>
    <row r="14" spans="1:6" x14ac:dyDescent="0.25">
      <c r="A14" s="3" t="s">
        <v>30</v>
      </c>
      <c r="B14" s="16"/>
      <c r="C14" s="16">
        <f>C11-C12-C13</f>
        <v>760</v>
      </c>
      <c r="D14" s="16">
        <f>D11-D12-D13</f>
        <v>1000</v>
      </c>
      <c r="E14" s="16">
        <f>E11-E12-E13</f>
        <v>1000</v>
      </c>
    </row>
    <row r="15" spans="1:6" x14ac:dyDescent="0.25">
      <c r="A15" s="5" t="s">
        <v>26</v>
      </c>
      <c r="B15" s="6"/>
      <c r="C15" s="6">
        <f>C5</f>
        <v>625</v>
      </c>
      <c r="D15" s="6">
        <f>D5</f>
        <v>625</v>
      </c>
      <c r="E15" s="6">
        <f>E5</f>
        <v>625</v>
      </c>
    </row>
    <row r="16" spans="1:6" x14ac:dyDescent="0.25">
      <c r="A16" s="3" t="s">
        <v>31</v>
      </c>
      <c r="B16" s="16"/>
      <c r="C16" s="16">
        <f>C14-C15</f>
        <v>135</v>
      </c>
      <c r="D16" s="16">
        <f>D14-D15</f>
        <v>375</v>
      </c>
      <c r="E16" s="16">
        <f>E14-E15</f>
        <v>375</v>
      </c>
    </row>
    <row r="17" spans="1:5" x14ac:dyDescent="0.25">
      <c r="A17" s="5" t="s">
        <v>32</v>
      </c>
      <c r="B17" s="6"/>
      <c r="C17" s="6">
        <f>C16*Dados1!$C$17</f>
        <v>54</v>
      </c>
      <c r="D17" s="6">
        <f>D16*Dados1!$C$17</f>
        <v>150</v>
      </c>
      <c r="E17" s="6">
        <f>E16*Dados1!$C$17</f>
        <v>150</v>
      </c>
    </row>
    <row r="18" spans="1:5" x14ac:dyDescent="0.25">
      <c r="A18" s="3" t="s">
        <v>33</v>
      </c>
      <c r="B18" s="16"/>
      <c r="C18" s="16">
        <f>C16-C17</f>
        <v>81</v>
      </c>
      <c r="D18" s="16">
        <f>D16-D17</f>
        <v>225</v>
      </c>
      <c r="E18" s="16">
        <f>E16-E17</f>
        <v>225</v>
      </c>
    </row>
    <row r="19" spans="1:5" x14ac:dyDescent="0.25">
      <c r="A19" s="3" t="s">
        <v>34</v>
      </c>
      <c r="B19" s="16"/>
      <c r="C19" s="16">
        <f>C18+C15</f>
        <v>706</v>
      </c>
      <c r="D19" s="16">
        <f>D18+D15</f>
        <v>850</v>
      </c>
      <c r="E19" s="16">
        <f>E18+E15</f>
        <v>850</v>
      </c>
    </row>
    <row r="22" spans="1:5" ht="14.25" customHeight="1" x14ac:dyDescent="0.25">
      <c r="A22" s="28" t="s">
        <v>35</v>
      </c>
      <c r="B22" s="28"/>
      <c r="C22" s="28"/>
      <c r="D22" s="28"/>
      <c r="E22" s="28"/>
    </row>
    <row r="23" spans="1:5" x14ac:dyDescent="0.25">
      <c r="A23" s="3" t="s">
        <v>1</v>
      </c>
      <c r="B23" s="4"/>
      <c r="C23" s="4">
        <v>1</v>
      </c>
      <c r="D23" s="4">
        <v>2</v>
      </c>
      <c r="E23" s="4">
        <v>3</v>
      </c>
    </row>
    <row r="24" spans="1:5" x14ac:dyDescent="0.25">
      <c r="A24" s="5" t="s">
        <v>36</v>
      </c>
      <c r="B24" s="6"/>
      <c r="C24" s="6">
        <f>C12</f>
        <v>540</v>
      </c>
      <c r="D24" s="6">
        <f>D12</f>
        <v>750</v>
      </c>
      <c r="E24" s="6">
        <f>E12</f>
        <v>750</v>
      </c>
    </row>
    <row r="25" spans="1:5" x14ac:dyDescent="0.25">
      <c r="A25" s="5" t="s">
        <v>37</v>
      </c>
      <c r="B25" s="6"/>
      <c r="C25" s="6">
        <v>0</v>
      </c>
      <c r="D25" s="6">
        <f>C26</f>
        <v>270</v>
      </c>
      <c r="E25" s="6">
        <f>D26</f>
        <v>375</v>
      </c>
    </row>
    <row r="26" spans="1:5" x14ac:dyDescent="0.25">
      <c r="A26" s="5" t="s">
        <v>38</v>
      </c>
      <c r="B26" s="6"/>
      <c r="C26" s="6">
        <f>C24*Dados1!$C$16/12</f>
        <v>270</v>
      </c>
      <c r="D26" s="6">
        <f>D24*Dados1!$C$16/12</f>
        <v>375</v>
      </c>
      <c r="E26" s="6">
        <f>E24*Dados1!$C$16/12</f>
        <v>375</v>
      </c>
    </row>
    <row r="27" spans="1:5" x14ac:dyDescent="0.25">
      <c r="A27" s="3" t="s">
        <v>39</v>
      </c>
      <c r="B27" s="16"/>
      <c r="C27" s="16">
        <f>C24-C25+C26</f>
        <v>810</v>
      </c>
      <c r="D27" s="16">
        <f>D24-D25+D26</f>
        <v>855</v>
      </c>
      <c r="E27" s="16">
        <f>E24-E25+E26</f>
        <v>750</v>
      </c>
    </row>
    <row r="30" spans="1:5" ht="14.25" customHeight="1" x14ac:dyDescent="0.25">
      <c r="A30" s="28" t="s">
        <v>40</v>
      </c>
      <c r="B30" s="28"/>
      <c r="C30" s="28"/>
      <c r="D30" s="28"/>
      <c r="E30" s="28"/>
    </row>
    <row r="31" spans="1:5" x14ac:dyDescent="0.25">
      <c r="A31" s="3" t="s">
        <v>41</v>
      </c>
      <c r="B31" s="4"/>
      <c r="C31" s="4">
        <v>1</v>
      </c>
      <c r="D31" s="4">
        <v>2</v>
      </c>
      <c r="E31" s="4">
        <v>3</v>
      </c>
    </row>
    <row r="32" spans="1:5" x14ac:dyDescent="0.25">
      <c r="A32" s="5" t="s">
        <v>42</v>
      </c>
      <c r="B32" s="6"/>
      <c r="C32" s="6">
        <f>C11*Dados1!$C$14/12</f>
        <v>750</v>
      </c>
      <c r="D32" s="6">
        <f>D11*Dados1!$C$14/12</f>
        <v>1041.6666666666667</v>
      </c>
      <c r="E32" s="6">
        <f>E11*Dados1!$C$14/12</f>
        <v>1041.6666666666667</v>
      </c>
    </row>
    <row r="33" spans="1:5" x14ac:dyDescent="0.25">
      <c r="A33" s="5" t="s">
        <v>43</v>
      </c>
      <c r="B33" s="6"/>
      <c r="C33" s="6">
        <f>C26</f>
        <v>270</v>
      </c>
      <c r="D33" s="6">
        <f>D26</f>
        <v>375</v>
      </c>
      <c r="E33" s="6">
        <f>E26</f>
        <v>375</v>
      </c>
    </row>
    <row r="34" spans="1:5" x14ac:dyDescent="0.25">
      <c r="A34" s="3" t="s">
        <v>44</v>
      </c>
      <c r="B34" s="3"/>
      <c r="C34" s="6"/>
      <c r="D34" s="6"/>
      <c r="E34" s="6"/>
    </row>
    <row r="35" spans="1:5" x14ac:dyDescent="0.25">
      <c r="A35" s="5" t="s">
        <v>45</v>
      </c>
      <c r="B35" s="6"/>
      <c r="C35" s="6">
        <f>C27*Dados1!$C$15/12</f>
        <v>135</v>
      </c>
      <c r="D35" s="6">
        <f>D27*Dados1!$C$15/12</f>
        <v>142.5</v>
      </c>
      <c r="E35" s="6">
        <f>E27*Dados1!$C$15/12</f>
        <v>125</v>
      </c>
    </row>
    <row r="36" spans="1:5" x14ac:dyDescent="0.25">
      <c r="A36" s="3" t="s">
        <v>46</v>
      </c>
      <c r="B36" s="16"/>
      <c r="C36" s="16">
        <f>C32+C33-C35</f>
        <v>885</v>
      </c>
      <c r="D36" s="16">
        <f>D32+D33-D35</f>
        <v>1274.1666666666667</v>
      </c>
      <c r="E36" s="16">
        <f>E32+E33-E35</f>
        <v>1291.6666666666667</v>
      </c>
    </row>
    <row r="37" spans="1:5" x14ac:dyDescent="0.25">
      <c r="A37" s="3" t="s">
        <v>47</v>
      </c>
      <c r="B37" s="16"/>
      <c r="C37" s="16">
        <f>C36-B36</f>
        <v>885</v>
      </c>
      <c r="D37" s="16">
        <f>D36-C36</f>
        <v>389.16666666666674</v>
      </c>
      <c r="E37" s="16">
        <f>E36-D36</f>
        <v>17.5</v>
      </c>
    </row>
    <row r="40" spans="1:5" ht="15" customHeight="1" x14ac:dyDescent="0.25">
      <c r="A40" s="28" t="s">
        <v>48</v>
      </c>
      <c r="B40" s="28"/>
      <c r="C40" s="28"/>
      <c r="D40" s="28"/>
      <c r="E40" s="28"/>
    </row>
    <row r="41" spans="1:5" x14ac:dyDescent="0.25">
      <c r="A41" s="3" t="s">
        <v>44</v>
      </c>
      <c r="B41" s="4">
        <v>0</v>
      </c>
      <c r="C41" s="4">
        <v>1</v>
      </c>
      <c r="D41" s="4">
        <v>2</v>
      </c>
      <c r="E41" s="4">
        <v>3</v>
      </c>
    </row>
    <row r="42" spans="1:5" x14ac:dyDescent="0.25">
      <c r="A42" s="5" t="s">
        <v>49</v>
      </c>
      <c r="B42" s="6"/>
      <c r="C42" s="6">
        <f>C19</f>
        <v>706</v>
      </c>
      <c r="D42" s="6">
        <f>D19</f>
        <v>850</v>
      </c>
      <c r="E42" s="6">
        <f>E19</f>
        <v>850</v>
      </c>
    </row>
    <row r="43" spans="1:5" x14ac:dyDescent="0.25">
      <c r="A43" s="5" t="s">
        <v>50</v>
      </c>
      <c r="B43" s="6"/>
      <c r="C43" s="6"/>
      <c r="D43" s="6"/>
      <c r="E43" s="6">
        <f>B63</f>
        <v>1916.6666666666667</v>
      </c>
    </row>
    <row r="44" spans="1:5" x14ac:dyDescent="0.25">
      <c r="A44" s="19" t="s">
        <v>24</v>
      </c>
      <c r="B44" s="16">
        <f>B42+B43</f>
        <v>0</v>
      </c>
      <c r="C44" s="16">
        <f>C42+C43</f>
        <v>706</v>
      </c>
      <c r="D44" s="16">
        <f>D42+D43</f>
        <v>850</v>
      </c>
      <c r="E44" s="16">
        <f>E42+E43</f>
        <v>2766.666666666667</v>
      </c>
    </row>
    <row r="45" spans="1:5" x14ac:dyDescent="0.25">
      <c r="A45" s="3" t="s">
        <v>41</v>
      </c>
      <c r="B45" s="6"/>
      <c r="C45" s="6"/>
      <c r="D45" s="6"/>
      <c r="E45" s="6"/>
    </row>
    <row r="46" spans="1:5" x14ac:dyDescent="0.25">
      <c r="A46" s="5" t="s">
        <v>51</v>
      </c>
      <c r="B46" s="6">
        <f>B3</f>
        <v>2500</v>
      </c>
      <c r="C46" s="6"/>
      <c r="D46" s="6"/>
      <c r="E46" s="6"/>
    </row>
    <row r="47" spans="1:5" x14ac:dyDescent="0.25">
      <c r="A47" s="5" t="s">
        <v>52</v>
      </c>
      <c r="B47" s="6"/>
      <c r="C47" s="6">
        <f>C37</f>
        <v>885</v>
      </c>
      <c r="D47" s="6">
        <f>D37</f>
        <v>389.16666666666674</v>
      </c>
      <c r="E47" s="6">
        <f>E37</f>
        <v>17.5</v>
      </c>
    </row>
    <row r="48" spans="1:5" x14ac:dyDescent="0.25">
      <c r="A48" s="19" t="s">
        <v>24</v>
      </c>
      <c r="B48" s="16">
        <f>B46+B47</f>
        <v>2500</v>
      </c>
      <c r="C48" s="16">
        <f>C46+C47</f>
        <v>885</v>
      </c>
      <c r="D48" s="16">
        <f>D46+D47</f>
        <v>389.16666666666674</v>
      </c>
      <c r="E48" s="16">
        <f>E46+E47</f>
        <v>17.5</v>
      </c>
    </row>
    <row r="49" spans="1:5" x14ac:dyDescent="0.25">
      <c r="A49" s="3" t="s">
        <v>53</v>
      </c>
      <c r="B49" s="16">
        <f>B44-B48</f>
        <v>-2500</v>
      </c>
      <c r="C49" s="16">
        <f>C44-C48</f>
        <v>-179</v>
      </c>
      <c r="D49" s="16">
        <f>D44-D48</f>
        <v>460.83333333333326</v>
      </c>
      <c r="E49" s="16">
        <f>E44-E48</f>
        <v>2749.166666666667</v>
      </c>
    </row>
    <row r="50" spans="1:5" x14ac:dyDescent="0.25">
      <c r="A50" s="5" t="s">
        <v>54</v>
      </c>
      <c r="B50" s="6">
        <f>B49/(1+Dados1!$C$18)^B$41</f>
        <v>-2500</v>
      </c>
      <c r="C50" s="6">
        <f>C49/(1+Dados1!$C$18)^C$41</f>
        <v>-165.74074074074073</v>
      </c>
      <c r="D50" s="6">
        <f>D49/(1+Dados1!$C$18)^D$41</f>
        <v>395.09030635573833</v>
      </c>
      <c r="E50" s="6">
        <f>E49/(1+Dados1!$C$18)^E$41</f>
        <v>2182.3771359379498</v>
      </c>
    </row>
    <row r="51" spans="1:5" x14ac:dyDescent="0.25">
      <c r="A51" s="20" t="s">
        <v>55</v>
      </c>
      <c r="B51" s="21">
        <f>SUM(B50:E50)</f>
        <v>-88.273298447052639</v>
      </c>
      <c r="C51" s="22"/>
      <c r="D51" s="22"/>
      <c r="E51" s="22"/>
    </row>
    <row r="52" spans="1:5" x14ac:dyDescent="0.25">
      <c r="A52" s="5" t="s">
        <v>54</v>
      </c>
      <c r="B52" s="6">
        <f>B49/(1+$B$53)^B41</f>
        <v>-2500</v>
      </c>
      <c r="C52" s="6">
        <f>C49/(1+$B$53)^C41</f>
        <v>-167.7569733491969</v>
      </c>
      <c r="D52" s="6">
        <f>D49/(1+$B$53)^D41</f>
        <v>404.76130492513721</v>
      </c>
      <c r="E52" s="6">
        <f>E49/(1+$B$53)^E41</f>
        <v>2262.9956684294693</v>
      </c>
    </row>
    <row r="53" spans="1:5" x14ac:dyDescent="0.25">
      <c r="A53" s="20" t="s">
        <v>56</v>
      </c>
      <c r="B53" s="23">
        <f>IRR(B49:E49)</f>
        <v>6.7019727563873088E-2</v>
      </c>
      <c r="C53" s="21">
        <f>SUM(B52:E52)</f>
        <v>5.4096744861453772E-9</v>
      </c>
      <c r="D53" s="22"/>
      <c r="E53" s="22"/>
    </row>
    <row r="54" spans="1:5" x14ac:dyDescent="0.25">
      <c r="A54" s="5" t="s">
        <v>57</v>
      </c>
      <c r="B54" s="6">
        <f>B50</f>
        <v>-2500</v>
      </c>
      <c r="C54" s="6">
        <f>B54+C50</f>
        <v>-2665.7407407407409</v>
      </c>
      <c r="D54" s="6">
        <f>C54+D50</f>
        <v>-2270.6504343850024</v>
      </c>
      <c r="E54" s="6">
        <f>D54+E50</f>
        <v>-88.273298447052639</v>
      </c>
    </row>
    <row r="55" spans="1:5" x14ac:dyDescent="0.25">
      <c r="A55" s="20" t="s">
        <v>58</v>
      </c>
      <c r="B55" s="24" t="e">
        <f>NA()</f>
        <v>#N/A</v>
      </c>
      <c r="C55" s="22"/>
      <c r="D55" s="22"/>
      <c r="E55" s="22"/>
    </row>
    <row r="56" spans="1:5" x14ac:dyDescent="0.25">
      <c r="A56" s="5" t="s">
        <v>59</v>
      </c>
      <c r="B56" s="6">
        <f>B49+B46</f>
        <v>0</v>
      </c>
      <c r="C56" s="6">
        <f>C49+C46</f>
        <v>-179</v>
      </c>
      <c r="D56" s="6">
        <f>D49+D46</f>
        <v>460.83333333333326</v>
      </c>
      <c r="E56" s="6">
        <f>E49+E46</f>
        <v>2749.166666666667</v>
      </c>
    </row>
    <row r="57" spans="1:5" x14ac:dyDescent="0.25">
      <c r="A57" s="5" t="s">
        <v>60</v>
      </c>
      <c r="B57" s="6">
        <f>B56/(1+Dados1!$C$18)^B$41</f>
        <v>0</v>
      </c>
      <c r="C57" s="6">
        <f>C56/(1+Dados1!$C$18)^C$41</f>
        <v>-165.74074074074073</v>
      </c>
      <c r="D57" s="6">
        <f>D56/(1+Dados1!$C$18)^D$41</f>
        <v>395.09030635573833</v>
      </c>
      <c r="E57" s="6">
        <f>E56/(1+Dados1!$C$18)^E$41</f>
        <v>2182.3771359379498</v>
      </c>
    </row>
    <row r="58" spans="1:5" x14ac:dyDescent="0.25">
      <c r="A58" s="5" t="s">
        <v>23</v>
      </c>
      <c r="B58" s="6">
        <f>B3</f>
        <v>2500</v>
      </c>
      <c r="C58" s="6">
        <f>C3</f>
        <v>0</v>
      </c>
      <c r="D58" s="6">
        <f>D3</f>
        <v>0</v>
      </c>
      <c r="E58" s="6">
        <f>E3</f>
        <v>0</v>
      </c>
    </row>
    <row r="59" spans="1:5" x14ac:dyDescent="0.25">
      <c r="A59" s="5" t="s">
        <v>61</v>
      </c>
      <c r="B59" s="6">
        <f>B58/(1+Dados1!$C$18)^B$41</f>
        <v>2500</v>
      </c>
      <c r="C59" s="6">
        <f>C58/(1+Dados1!$C$18)^C$41</f>
        <v>0</v>
      </c>
      <c r="D59" s="6">
        <f>D58/(1+Dados1!$C$18)^D$41</f>
        <v>0</v>
      </c>
      <c r="E59" s="6">
        <f>E58/(1+Dados1!$C$18)^E$41</f>
        <v>0</v>
      </c>
    </row>
    <row r="60" spans="1:5" x14ac:dyDescent="0.25">
      <c r="A60" s="20" t="s">
        <v>62</v>
      </c>
      <c r="B60" s="24">
        <f>SUM(B57:E57)/SUM(B59:E59)</f>
        <v>0.96469068062117891</v>
      </c>
      <c r="C60" s="22"/>
      <c r="D60" s="22"/>
      <c r="E60" s="22"/>
    </row>
    <row r="62" spans="1:5" x14ac:dyDescent="0.25">
      <c r="A62" s="20" t="s">
        <v>66</v>
      </c>
      <c r="B62" s="21">
        <f>F6</f>
        <v>625</v>
      </c>
    </row>
    <row r="63" spans="1:5" x14ac:dyDescent="0.25">
      <c r="A63" s="20" t="s">
        <v>63</v>
      </c>
      <c r="B63" s="21">
        <f>B62+E36</f>
        <v>1916.6666666666667</v>
      </c>
    </row>
  </sheetData>
  <mergeCells count="4">
    <mergeCell ref="A9:E9"/>
    <mergeCell ref="A22:E22"/>
    <mergeCell ref="A30:E30"/>
    <mergeCell ref="A40:E40"/>
  </mergeCells>
  <pageMargins left="0.75" right="0.75" top="1" bottom="1" header="0.5" footer="0.5"/>
  <pageSetup paperSize="9" orientation="portrait" horizontalDpi="4294967293" verticalDpi="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3"/>
  <sheetViews>
    <sheetView zoomScaleNormal="100" workbookViewId="0">
      <selection activeCell="A64" sqref="A64:XFD66"/>
    </sheetView>
  </sheetViews>
  <sheetFormatPr defaultRowHeight="10.5" x14ac:dyDescent="0.25"/>
  <cols>
    <col min="1" max="1" width="34.85546875" style="2" customWidth="1"/>
    <col min="2" max="5" width="8.85546875" style="2" customWidth="1"/>
    <col min="6" max="16384" width="9.140625" style="2"/>
  </cols>
  <sheetData>
    <row r="1" spans="1:6" ht="14.25" customHeight="1" x14ac:dyDescent="0.25">
      <c r="A1" s="27" t="s">
        <v>22</v>
      </c>
      <c r="B1" s="27"/>
      <c r="C1" s="27"/>
      <c r="D1" s="27"/>
      <c r="E1" s="27"/>
      <c r="F1" s="27"/>
    </row>
    <row r="2" spans="1:6" x14ac:dyDescent="0.25">
      <c r="A2" s="3" t="s">
        <v>23</v>
      </c>
      <c r="B2" s="4">
        <v>0</v>
      </c>
      <c r="C2" s="4">
        <v>1</v>
      </c>
      <c r="D2" s="4">
        <v>2</v>
      </c>
      <c r="E2" s="4">
        <v>3</v>
      </c>
      <c r="F2" s="4" t="s">
        <v>24</v>
      </c>
    </row>
    <row r="3" spans="1:6" x14ac:dyDescent="0.25">
      <c r="A3" s="5" t="s">
        <v>25</v>
      </c>
      <c r="B3" s="6">
        <f>Dados1!B6</f>
        <v>2500</v>
      </c>
      <c r="C3" s="6"/>
      <c r="D3" s="6"/>
      <c r="E3" s="6"/>
      <c r="F3" s="14">
        <f>SUM(B3:E3)</f>
        <v>2500</v>
      </c>
    </row>
    <row r="4" spans="1:6" x14ac:dyDescent="0.25">
      <c r="A4" s="3" t="s">
        <v>26</v>
      </c>
      <c r="B4" s="15" t="s">
        <v>15</v>
      </c>
      <c r="C4" s="16"/>
      <c r="D4" s="16"/>
      <c r="E4" s="16"/>
      <c r="F4" s="16"/>
    </row>
    <row r="5" spans="1:6" x14ac:dyDescent="0.25">
      <c r="A5" s="5" t="s">
        <v>25</v>
      </c>
      <c r="B5" s="17">
        <f>Dados1!C13</f>
        <v>0.25</v>
      </c>
      <c r="C5" s="6">
        <f>$B$5*$B$3</f>
        <v>625</v>
      </c>
      <c r="D5" s="6">
        <f>$B$5*$B$3</f>
        <v>625</v>
      </c>
      <c r="E5" s="6">
        <f>$B$5*$B$3</f>
        <v>625</v>
      </c>
      <c r="F5" s="14">
        <f>SUM(C5:E5)</f>
        <v>1875</v>
      </c>
    </row>
    <row r="6" spans="1:6" x14ac:dyDescent="0.25">
      <c r="A6" s="3" t="s">
        <v>27</v>
      </c>
      <c r="B6" s="16">
        <f>B3</f>
        <v>2500</v>
      </c>
      <c r="C6" s="16">
        <f>B6-C5</f>
        <v>1875</v>
      </c>
      <c r="D6" s="16">
        <f>C6-D5</f>
        <v>1250</v>
      </c>
      <c r="E6" s="16">
        <f>D6-E5</f>
        <v>625</v>
      </c>
      <c r="F6" s="16">
        <f>F3-F5</f>
        <v>625</v>
      </c>
    </row>
    <row r="9" spans="1:6" ht="14.25" customHeight="1" x14ac:dyDescent="0.25">
      <c r="A9" s="28" t="s">
        <v>28</v>
      </c>
      <c r="B9" s="28"/>
      <c r="C9" s="28"/>
      <c r="D9" s="28"/>
      <c r="E9" s="28"/>
    </row>
    <row r="10" spans="1:6" x14ac:dyDescent="0.25">
      <c r="A10" s="3" t="s">
        <v>1</v>
      </c>
      <c r="B10" s="4"/>
      <c r="C10" s="4">
        <v>1</v>
      </c>
      <c r="D10" s="4">
        <v>2</v>
      </c>
      <c r="E10" s="4">
        <v>3</v>
      </c>
    </row>
    <row r="11" spans="1:6" x14ac:dyDescent="0.25">
      <c r="A11" s="5" t="s">
        <v>2</v>
      </c>
      <c r="B11" s="6"/>
      <c r="C11" s="6">
        <f>Dados1!C3</f>
        <v>1800</v>
      </c>
      <c r="D11" s="6">
        <f>Dados1!D3</f>
        <v>2500</v>
      </c>
      <c r="E11" s="6">
        <f>Dados1!E3</f>
        <v>2500</v>
      </c>
    </row>
    <row r="12" spans="1:6" x14ac:dyDescent="0.25">
      <c r="A12" s="5" t="s">
        <v>29</v>
      </c>
      <c r="B12" s="6"/>
      <c r="C12" s="6">
        <f>Dados1!C4*'Resolução1 (VRL EF)'!C11</f>
        <v>540</v>
      </c>
      <c r="D12" s="6">
        <f>Dados1!D4*'Resolução1 (VRL EF)'!D11</f>
        <v>750</v>
      </c>
      <c r="E12" s="6">
        <f>Dados1!E4*'Resolução1 (VRL EF)'!E11</f>
        <v>750</v>
      </c>
    </row>
    <row r="13" spans="1:6" x14ac:dyDescent="0.25">
      <c r="A13" s="5" t="s">
        <v>5</v>
      </c>
      <c r="B13" s="6"/>
      <c r="C13" s="6">
        <f>Dados1!C5</f>
        <v>500</v>
      </c>
      <c r="D13" s="6">
        <f>Dados1!D5</f>
        <v>750</v>
      </c>
      <c r="E13" s="6">
        <f>Dados1!E5</f>
        <v>750</v>
      </c>
    </row>
    <row r="14" spans="1:6" x14ac:dyDescent="0.25">
      <c r="A14" s="3" t="s">
        <v>30</v>
      </c>
      <c r="B14" s="16"/>
      <c r="C14" s="16">
        <f>C11-C12-C13</f>
        <v>760</v>
      </c>
      <c r="D14" s="16">
        <f>D11-D12-D13</f>
        <v>1000</v>
      </c>
      <c r="E14" s="16">
        <f>E11-E12-E13</f>
        <v>1000</v>
      </c>
    </row>
    <row r="15" spans="1:6" x14ac:dyDescent="0.25">
      <c r="A15" s="5" t="s">
        <v>26</v>
      </c>
      <c r="B15" s="6"/>
      <c r="C15" s="6">
        <f>C5</f>
        <v>625</v>
      </c>
      <c r="D15" s="6">
        <f>D5</f>
        <v>625</v>
      </c>
      <c r="E15" s="6">
        <f>E5</f>
        <v>625</v>
      </c>
    </row>
    <row r="16" spans="1:6" x14ac:dyDescent="0.25">
      <c r="A16" s="3" t="s">
        <v>31</v>
      </c>
      <c r="B16" s="16"/>
      <c r="C16" s="16">
        <f>C14-C15</f>
        <v>135</v>
      </c>
      <c r="D16" s="16">
        <f>D14-D15</f>
        <v>375</v>
      </c>
      <c r="E16" s="16">
        <f>E14-E15</f>
        <v>375</v>
      </c>
    </row>
    <row r="17" spans="1:5" x14ac:dyDescent="0.25">
      <c r="A17" s="5" t="s">
        <v>32</v>
      </c>
      <c r="B17" s="6"/>
      <c r="C17" s="6">
        <f>C16*Dados1!$C$17</f>
        <v>54</v>
      </c>
      <c r="D17" s="6">
        <f>D16*Dados1!$C$17</f>
        <v>150</v>
      </c>
      <c r="E17" s="6">
        <f>E16*Dados1!$C$17</f>
        <v>150</v>
      </c>
    </row>
    <row r="18" spans="1:5" x14ac:dyDescent="0.25">
      <c r="A18" s="3" t="s">
        <v>33</v>
      </c>
      <c r="B18" s="16"/>
      <c r="C18" s="16">
        <f>C16-C17</f>
        <v>81</v>
      </c>
      <c r="D18" s="16">
        <f>D16-D17</f>
        <v>225</v>
      </c>
      <c r="E18" s="16">
        <f>E16-E17</f>
        <v>225</v>
      </c>
    </row>
    <row r="19" spans="1:5" x14ac:dyDescent="0.25">
      <c r="A19" s="3" t="s">
        <v>34</v>
      </c>
      <c r="B19" s="16"/>
      <c r="C19" s="16">
        <f>C18+C15</f>
        <v>706</v>
      </c>
      <c r="D19" s="16">
        <f>D18+D15</f>
        <v>850</v>
      </c>
      <c r="E19" s="16">
        <f>E18+E15</f>
        <v>850</v>
      </c>
    </row>
    <row r="22" spans="1:5" ht="14.25" customHeight="1" x14ac:dyDescent="0.25">
      <c r="A22" s="28" t="s">
        <v>35</v>
      </c>
      <c r="B22" s="28"/>
      <c r="C22" s="28"/>
      <c r="D22" s="28"/>
      <c r="E22" s="28"/>
    </row>
    <row r="23" spans="1:5" x14ac:dyDescent="0.25">
      <c r="A23" s="3" t="s">
        <v>1</v>
      </c>
      <c r="B23" s="4"/>
      <c r="C23" s="4">
        <v>1</v>
      </c>
      <c r="D23" s="4">
        <v>2</v>
      </c>
      <c r="E23" s="4">
        <v>3</v>
      </c>
    </row>
    <row r="24" spans="1:5" x14ac:dyDescent="0.25">
      <c r="A24" s="5" t="s">
        <v>36</v>
      </c>
      <c r="B24" s="6"/>
      <c r="C24" s="6">
        <f>C12</f>
        <v>540</v>
      </c>
      <c r="D24" s="6">
        <f>D12</f>
        <v>750</v>
      </c>
      <c r="E24" s="6">
        <f>E12</f>
        <v>750</v>
      </c>
    </row>
    <row r="25" spans="1:5" x14ac:dyDescent="0.25">
      <c r="A25" s="5" t="s">
        <v>37</v>
      </c>
      <c r="B25" s="6"/>
      <c r="C25" s="6">
        <v>0</v>
      </c>
      <c r="D25" s="6">
        <f>C26</f>
        <v>270</v>
      </c>
      <c r="E25" s="6">
        <f>D26</f>
        <v>375</v>
      </c>
    </row>
    <row r="26" spans="1:5" x14ac:dyDescent="0.25">
      <c r="A26" s="5" t="s">
        <v>38</v>
      </c>
      <c r="B26" s="6"/>
      <c r="C26" s="6">
        <f>C24*Dados1!$C$16/12</f>
        <v>270</v>
      </c>
      <c r="D26" s="6">
        <f>D24*Dados1!$C$16/12</f>
        <v>375</v>
      </c>
      <c r="E26" s="6">
        <f>E24*Dados1!$C$16/12</f>
        <v>375</v>
      </c>
    </row>
    <row r="27" spans="1:5" x14ac:dyDescent="0.25">
      <c r="A27" s="3" t="s">
        <v>39</v>
      </c>
      <c r="B27" s="16"/>
      <c r="C27" s="16">
        <f>C24-C25+C26</f>
        <v>810</v>
      </c>
      <c r="D27" s="16">
        <f>D24-D25+D26</f>
        <v>855</v>
      </c>
      <c r="E27" s="16">
        <f>E24-E25+E26</f>
        <v>750</v>
      </c>
    </row>
    <row r="30" spans="1:5" ht="14.25" customHeight="1" x14ac:dyDescent="0.25">
      <c r="A30" s="28" t="s">
        <v>40</v>
      </c>
      <c r="B30" s="28"/>
      <c r="C30" s="28"/>
      <c r="D30" s="28"/>
      <c r="E30" s="28"/>
    </row>
    <row r="31" spans="1:5" x14ac:dyDescent="0.25">
      <c r="A31" s="3" t="s">
        <v>41</v>
      </c>
      <c r="B31" s="4"/>
      <c r="C31" s="4">
        <v>1</v>
      </c>
      <c r="D31" s="4">
        <v>2</v>
      </c>
      <c r="E31" s="4">
        <v>3</v>
      </c>
    </row>
    <row r="32" spans="1:5" x14ac:dyDescent="0.25">
      <c r="A32" s="5" t="s">
        <v>42</v>
      </c>
      <c r="B32" s="6"/>
      <c r="C32" s="6">
        <f>C11*Dados1!$C$14/12</f>
        <v>750</v>
      </c>
      <c r="D32" s="6">
        <f>D11*Dados1!$C$14/12</f>
        <v>1041.6666666666667</v>
      </c>
      <c r="E32" s="6">
        <f>E11*Dados1!$C$14/12</f>
        <v>1041.6666666666667</v>
      </c>
    </row>
    <row r="33" spans="1:5" x14ac:dyDescent="0.25">
      <c r="A33" s="5" t="s">
        <v>43</v>
      </c>
      <c r="B33" s="6"/>
      <c r="C33" s="6">
        <f>C26</f>
        <v>270</v>
      </c>
      <c r="D33" s="6">
        <f>D26</f>
        <v>375</v>
      </c>
      <c r="E33" s="6">
        <f>E26</f>
        <v>375</v>
      </c>
    </row>
    <row r="34" spans="1:5" x14ac:dyDescent="0.25">
      <c r="A34" s="3" t="s">
        <v>44</v>
      </c>
      <c r="B34" s="3"/>
      <c r="C34" s="6"/>
      <c r="D34" s="6"/>
      <c r="E34" s="6"/>
    </row>
    <row r="35" spans="1:5" x14ac:dyDescent="0.25">
      <c r="A35" s="5" t="s">
        <v>45</v>
      </c>
      <c r="B35" s="6"/>
      <c r="C35" s="6">
        <f>C27*Dados1!$C$15/12</f>
        <v>135</v>
      </c>
      <c r="D35" s="6">
        <f>D27*Dados1!$C$15/12</f>
        <v>142.5</v>
      </c>
      <c r="E35" s="6">
        <f>E27*Dados1!$C$15/12</f>
        <v>125</v>
      </c>
    </row>
    <row r="36" spans="1:5" x14ac:dyDescent="0.25">
      <c r="A36" s="3" t="s">
        <v>46</v>
      </c>
      <c r="B36" s="16"/>
      <c r="C36" s="16">
        <f>C32+C33-C35</f>
        <v>885</v>
      </c>
      <c r="D36" s="16">
        <f>D32+D33-D35</f>
        <v>1274.1666666666667</v>
      </c>
      <c r="E36" s="16">
        <f>E32+E33-E35</f>
        <v>1291.6666666666667</v>
      </c>
    </row>
    <row r="37" spans="1:5" x14ac:dyDescent="0.25">
      <c r="A37" s="3" t="s">
        <v>47</v>
      </c>
      <c r="B37" s="16"/>
      <c r="C37" s="16">
        <f>C36-B36</f>
        <v>885</v>
      </c>
      <c r="D37" s="16">
        <f>D36-C36</f>
        <v>389.16666666666674</v>
      </c>
      <c r="E37" s="16">
        <f>E36-D36</f>
        <v>17.5</v>
      </c>
    </row>
    <row r="40" spans="1:5" ht="15" customHeight="1" x14ac:dyDescent="0.25">
      <c r="A40" s="28" t="s">
        <v>48</v>
      </c>
      <c r="B40" s="28"/>
      <c r="C40" s="28"/>
      <c r="D40" s="28"/>
      <c r="E40" s="28"/>
    </row>
    <row r="41" spans="1:5" x14ac:dyDescent="0.25">
      <c r="A41" s="3" t="s">
        <v>44</v>
      </c>
      <c r="B41" s="4">
        <v>0</v>
      </c>
      <c r="C41" s="4">
        <v>1</v>
      </c>
      <c r="D41" s="4">
        <v>2</v>
      </c>
      <c r="E41" s="4">
        <v>3</v>
      </c>
    </row>
    <row r="42" spans="1:5" x14ac:dyDescent="0.25">
      <c r="A42" s="5" t="s">
        <v>49</v>
      </c>
      <c r="B42" s="6"/>
      <c r="C42" s="6">
        <f>C19</f>
        <v>706</v>
      </c>
      <c r="D42" s="6">
        <f>D19</f>
        <v>850</v>
      </c>
      <c r="E42" s="6">
        <f>E19</f>
        <v>850</v>
      </c>
    </row>
    <row r="43" spans="1:5" x14ac:dyDescent="0.25">
      <c r="A43" s="5" t="s">
        <v>50</v>
      </c>
      <c r="B43" s="6"/>
      <c r="C43" s="6"/>
      <c r="D43" s="6"/>
      <c r="E43" s="6">
        <f>B63</f>
        <v>2141.666666666667</v>
      </c>
    </row>
    <row r="44" spans="1:5" x14ac:dyDescent="0.25">
      <c r="A44" s="19" t="s">
        <v>24</v>
      </c>
      <c r="B44" s="16">
        <f>B42+B43</f>
        <v>0</v>
      </c>
      <c r="C44" s="16">
        <f>C42+C43</f>
        <v>706</v>
      </c>
      <c r="D44" s="16">
        <f>D42+D43</f>
        <v>850</v>
      </c>
      <c r="E44" s="16">
        <f>E42+E43</f>
        <v>2991.666666666667</v>
      </c>
    </row>
    <row r="45" spans="1:5" x14ac:dyDescent="0.25">
      <c r="A45" s="3" t="s">
        <v>41</v>
      </c>
      <c r="B45" s="6"/>
      <c r="C45" s="6"/>
      <c r="D45" s="6"/>
      <c r="E45" s="6"/>
    </row>
    <row r="46" spans="1:5" x14ac:dyDescent="0.25">
      <c r="A46" s="5" t="s">
        <v>51</v>
      </c>
      <c r="B46" s="6">
        <f>B3</f>
        <v>2500</v>
      </c>
      <c r="C46" s="6"/>
      <c r="D46" s="6"/>
      <c r="E46" s="6"/>
    </row>
    <row r="47" spans="1:5" x14ac:dyDescent="0.25">
      <c r="A47" s="5" t="s">
        <v>52</v>
      </c>
      <c r="B47" s="6"/>
      <c r="C47" s="6">
        <f>C37</f>
        <v>885</v>
      </c>
      <c r="D47" s="6">
        <f>D37</f>
        <v>389.16666666666674</v>
      </c>
      <c r="E47" s="6">
        <f>E37</f>
        <v>17.5</v>
      </c>
    </row>
    <row r="48" spans="1:5" x14ac:dyDescent="0.25">
      <c r="A48" s="19" t="s">
        <v>24</v>
      </c>
      <c r="B48" s="16">
        <f>B46+B47</f>
        <v>2500</v>
      </c>
      <c r="C48" s="16">
        <f>C46+C47</f>
        <v>885</v>
      </c>
      <c r="D48" s="16">
        <f>D46+D47</f>
        <v>389.16666666666674</v>
      </c>
      <c r="E48" s="16">
        <f>E46+E47</f>
        <v>17.5</v>
      </c>
    </row>
    <row r="49" spans="1:5" x14ac:dyDescent="0.25">
      <c r="A49" s="3" t="s">
        <v>53</v>
      </c>
      <c r="B49" s="16">
        <f>B44-B48</f>
        <v>-2500</v>
      </c>
      <c r="C49" s="16">
        <f>C44-C48</f>
        <v>-179</v>
      </c>
      <c r="D49" s="16">
        <f>D44-D48</f>
        <v>460.83333333333326</v>
      </c>
      <c r="E49" s="16">
        <f>E44-E48</f>
        <v>2974.166666666667</v>
      </c>
    </row>
    <row r="50" spans="1:5" x14ac:dyDescent="0.25">
      <c r="A50" s="5" t="s">
        <v>54</v>
      </c>
      <c r="B50" s="6">
        <f>B49/(1+Dados1!$C$18)^B$41</f>
        <v>-2500</v>
      </c>
      <c r="C50" s="6">
        <f>C49/(1+Dados1!$C$18)^C$41</f>
        <v>-165.74074074074073</v>
      </c>
      <c r="D50" s="6">
        <f>D49/(1+Dados1!$C$18)^D$41</f>
        <v>395.09030635573833</v>
      </c>
      <c r="E50" s="6">
        <f>E49/(1+Dados1!$C$18)^E$41</f>
        <v>2360.9893901674877</v>
      </c>
    </row>
    <row r="51" spans="1:5" x14ac:dyDescent="0.25">
      <c r="A51" s="20" t="s">
        <v>55</v>
      </c>
      <c r="B51" s="21">
        <f>SUM(B50:E50)</f>
        <v>90.3389557824853</v>
      </c>
      <c r="C51" s="22"/>
      <c r="D51" s="22"/>
      <c r="E51" s="22"/>
    </row>
    <row r="52" spans="1:5" x14ac:dyDescent="0.25">
      <c r="A52" s="5" t="s">
        <v>54</v>
      </c>
      <c r="B52" s="6">
        <f>B49/(1+$B$53)^B41</f>
        <v>-2500</v>
      </c>
      <c r="C52" s="6">
        <f>C49/(1+$B$53)^C41</f>
        <v>-163.77556132558738</v>
      </c>
      <c r="D52" s="6">
        <f>D49/(1+$B$53)^D41</f>
        <v>385.77672023328728</v>
      </c>
      <c r="E52" s="6">
        <f>E49/(1+$B$53)^E41</f>
        <v>2277.9988410923002</v>
      </c>
    </row>
    <row r="53" spans="1:5" x14ac:dyDescent="0.25">
      <c r="A53" s="20" t="s">
        <v>56</v>
      </c>
      <c r="B53" s="23">
        <f>IRR(B49:E49)</f>
        <v>9.2959160397235951E-2</v>
      </c>
      <c r="C53" s="21">
        <f>SUM(B52:E52)</f>
        <v>0</v>
      </c>
      <c r="D53" s="22"/>
      <c r="E53" s="22"/>
    </row>
    <row r="54" spans="1:5" x14ac:dyDescent="0.25">
      <c r="A54" s="5" t="s">
        <v>57</v>
      </c>
      <c r="B54" s="6">
        <f>B50</f>
        <v>-2500</v>
      </c>
      <c r="C54" s="6">
        <f>B54+C50</f>
        <v>-2665.7407407407409</v>
      </c>
      <c r="D54" s="6">
        <f>C54+D50</f>
        <v>-2270.6504343850024</v>
      </c>
      <c r="E54" s="6">
        <f>D54+E50</f>
        <v>90.3389557824853</v>
      </c>
    </row>
    <row r="55" spans="1:5" x14ac:dyDescent="0.25">
      <c r="A55" s="20" t="s">
        <v>58</v>
      </c>
      <c r="B55" s="24">
        <f>2+(-D54)/E50</f>
        <v>2.961736822639395</v>
      </c>
      <c r="C55" s="22"/>
      <c r="D55" s="22"/>
      <c r="E55" s="22"/>
    </row>
    <row r="56" spans="1:5" x14ac:dyDescent="0.25">
      <c r="A56" s="5" t="s">
        <v>59</v>
      </c>
      <c r="B56" s="6">
        <f>B49+B46</f>
        <v>0</v>
      </c>
      <c r="C56" s="6">
        <f>C49+C46</f>
        <v>-179</v>
      </c>
      <c r="D56" s="6">
        <f>D49+D46</f>
        <v>460.83333333333326</v>
      </c>
      <c r="E56" s="6">
        <f>E49+E46</f>
        <v>2974.166666666667</v>
      </c>
    </row>
    <row r="57" spans="1:5" x14ac:dyDescent="0.25">
      <c r="A57" s="5" t="s">
        <v>60</v>
      </c>
      <c r="B57" s="6">
        <f>B56/(1+Dados1!$C$18)^B$41</f>
        <v>0</v>
      </c>
      <c r="C57" s="6">
        <f>C56/(1+Dados1!$C$18)^C$41</f>
        <v>-165.74074074074073</v>
      </c>
      <c r="D57" s="6">
        <f>D56/(1+Dados1!$C$18)^D$41</f>
        <v>395.09030635573833</v>
      </c>
      <c r="E57" s="6">
        <f>E56/(1+Dados1!$C$18)^E$41</f>
        <v>2360.9893901674877</v>
      </c>
    </row>
    <row r="58" spans="1:5" x14ac:dyDescent="0.25">
      <c r="A58" s="5" t="s">
        <v>23</v>
      </c>
      <c r="B58" s="6">
        <f>B3</f>
        <v>2500</v>
      </c>
      <c r="C58" s="6">
        <f>C3</f>
        <v>0</v>
      </c>
      <c r="D58" s="6">
        <f>D3</f>
        <v>0</v>
      </c>
      <c r="E58" s="6">
        <f>E3</f>
        <v>0</v>
      </c>
    </row>
    <row r="59" spans="1:5" x14ac:dyDescent="0.25">
      <c r="A59" s="5" t="s">
        <v>61</v>
      </c>
      <c r="B59" s="6">
        <f>B58/(1+Dados1!$C$18)^B$41</f>
        <v>2500</v>
      </c>
      <c r="C59" s="6">
        <f>C58/(1+Dados1!$C$18)^C$41</f>
        <v>0</v>
      </c>
      <c r="D59" s="6">
        <f>D58/(1+Dados1!$C$18)^D$41</f>
        <v>0</v>
      </c>
      <c r="E59" s="6">
        <f>E58/(1+Dados1!$C$18)^E$41</f>
        <v>0</v>
      </c>
    </row>
    <row r="60" spans="1:5" x14ac:dyDescent="0.25">
      <c r="A60" s="20" t="s">
        <v>62</v>
      </c>
      <c r="B60" s="24">
        <f>SUM(B57:E57)/SUM(B59:E59)</f>
        <v>1.0361355823129941</v>
      </c>
      <c r="C60" s="22"/>
      <c r="D60" s="22"/>
      <c r="E60" s="22"/>
    </row>
    <row r="62" spans="1:5" x14ac:dyDescent="0.25">
      <c r="A62" s="20" t="s">
        <v>66</v>
      </c>
      <c r="B62" s="21">
        <v>1000</v>
      </c>
    </row>
    <row r="63" spans="1:5" x14ac:dyDescent="0.25">
      <c r="A63" s="20" t="s">
        <v>63</v>
      </c>
      <c r="B63" s="21">
        <f>B62-(B62-F6)*Dados1!C17+E36</f>
        <v>2141.666666666667</v>
      </c>
    </row>
  </sheetData>
  <mergeCells count="4">
    <mergeCell ref="A9:E9"/>
    <mergeCell ref="A22:E22"/>
    <mergeCell ref="A30:E30"/>
    <mergeCell ref="A40:E40"/>
  </mergeCells>
  <pageMargins left="0.75" right="0.75" top="1" bottom="1" header="0.5" footer="0.5"/>
  <pageSetup paperSize="9" orientation="portrait" horizontalDpi="4294967293" verticalDpi="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5"/>
  <sheetViews>
    <sheetView topLeftCell="A25" zoomScaleNormal="100" workbookViewId="0">
      <selection activeCell="H73" sqref="H73"/>
    </sheetView>
  </sheetViews>
  <sheetFormatPr defaultRowHeight="10.5" x14ac:dyDescent="0.25"/>
  <cols>
    <col min="1" max="1" width="34.85546875" style="2" customWidth="1"/>
    <col min="2" max="5" width="8.85546875" style="2" customWidth="1"/>
    <col min="6" max="16384" width="9.140625" style="2"/>
  </cols>
  <sheetData>
    <row r="1" spans="1:6" ht="14.25" customHeight="1" x14ac:dyDescent="0.25">
      <c r="A1" s="25" t="s">
        <v>22</v>
      </c>
      <c r="B1" s="25"/>
      <c r="C1" s="25"/>
      <c r="D1" s="25"/>
      <c r="E1" s="25"/>
      <c r="F1" s="25"/>
    </row>
    <row r="2" spans="1:6" x14ac:dyDescent="0.25">
      <c r="A2" s="3" t="s">
        <v>23</v>
      </c>
      <c r="B2" s="4">
        <v>0</v>
      </c>
      <c r="C2" s="4">
        <v>1</v>
      </c>
      <c r="D2" s="4">
        <v>2</v>
      </c>
      <c r="E2" s="4">
        <v>3</v>
      </c>
      <c r="F2" s="4" t="s">
        <v>24</v>
      </c>
    </row>
    <row r="3" spans="1:6" x14ac:dyDescent="0.25">
      <c r="A3" s="5" t="s">
        <v>25</v>
      </c>
      <c r="B3" s="6">
        <f>Dados1!B6</f>
        <v>2500</v>
      </c>
      <c r="C3" s="6"/>
      <c r="D3" s="6"/>
      <c r="E3" s="6"/>
      <c r="F3" s="14">
        <f>SUM(B3:E3)</f>
        <v>2500</v>
      </c>
    </row>
    <row r="4" spans="1:6" x14ac:dyDescent="0.25">
      <c r="A4" s="3" t="s">
        <v>26</v>
      </c>
      <c r="B4" s="15" t="s">
        <v>15</v>
      </c>
      <c r="C4" s="16"/>
      <c r="D4" s="16"/>
      <c r="E4" s="16"/>
      <c r="F4" s="16"/>
    </row>
    <row r="5" spans="1:6" x14ac:dyDescent="0.25">
      <c r="A5" s="5" t="s">
        <v>25</v>
      </c>
      <c r="B5" s="17">
        <f>Dados1!C13</f>
        <v>0.25</v>
      </c>
      <c r="C5" s="6">
        <f>$B$5*$B$3</f>
        <v>625</v>
      </c>
      <c r="D5" s="6">
        <f>$B$5*$B$3</f>
        <v>625</v>
      </c>
      <c r="E5" s="6">
        <f>$B$5*$B$3</f>
        <v>625</v>
      </c>
      <c r="F5" s="14">
        <f>SUM(C5:E5)</f>
        <v>1875</v>
      </c>
    </row>
    <row r="6" spans="1:6" x14ac:dyDescent="0.25">
      <c r="A6" s="3" t="s">
        <v>27</v>
      </c>
      <c r="B6" s="16">
        <f>B3</f>
        <v>2500</v>
      </c>
      <c r="C6" s="16">
        <f>B6-C5</f>
        <v>1875</v>
      </c>
      <c r="D6" s="16">
        <f>C6-D5</f>
        <v>1250</v>
      </c>
      <c r="E6" s="16">
        <f>D6-E5</f>
        <v>625</v>
      </c>
      <c r="F6" s="16">
        <f>F3-F5</f>
        <v>625</v>
      </c>
    </row>
    <row r="9" spans="1:6" ht="14.25" customHeight="1" x14ac:dyDescent="0.25">
      <c r="A9" s="28" t="s">
        <v>28</v>
      </c>
      <c r="B9" s="28"/>
      <c r="C9" s="28"/>
      <c r="D9" s="28"/>
      <c r="E9" s="28"/>
    </row>
    <row r="10" spans="1:6" x14ac:dyDescent="0.25">
      <c r="A10" s="3" t="s">
        <v>1</v>
      </c>
      <c r="B10" s="4"/>
      <c r="C10" s="4">
        <v>1</v>
      </c>
      <c r="D10" s="4">
        <v>2</v>
      </c>
      <c r="E10" s="4">
        <v>3</v>
      </c>
    </row>
    <row r="11" spans="1:6" x14ac:dyDescent="0.25">
      <c r="A11" s="5" t="s">
        <v>2</v>
      </c>
      <c r="B11" s="6"/>
      <c r="C11" s="6">
        <f>Dados1!C3</f>
        <v>1800</v>
      </c>
      <c r="D11" s="6">
        <f>Dados1!D3</f>
        <v>2500</v>
      </c>
      <c r="E11" s="6">
        <f>Dados1!E3</f>
        <v>2500</v>
      </c>
    </row>
    <row r="12" spans="1:6" x14ac:dyDescent="0.25">
      <c r="A12" s="5" t="s">
        <v>29</v>
      </c>
      <c r="B12" s="6"/>
      <c r="C12" s="6">
        <f>Dados1!C4*'Resolução1 (VRC 0)'!C11</f>
        <v>540</v>
      </c>
      <c r="D12" s="6">
        <f>Dados1!D4*'Resolução1 (VRC 0)'!D11</f>
        <v>750</v>
      </c>
      <c r="E12" s="6">
        <f>Dados1!E4*'Resolução1 (VRC 0)'!E11</f>
        <v>750</v>
      </c>
    </row>
    <row r="13" spans="1:6" x14ac:dyDescent="0.25">
      <c r="A13" s="5"/>
      <c r="B13" s="6"/>
      <c r="C13" s="6">
        <f>Dados1!C5</f>
        <v>500</v>
      </c>
      <c r="D13" s="6">
        <f>Dados1!D5</f>
        <v>750</v>
      </c>
      <c r="E13" s="6">
        <f>Dados1!E5</f>
        <v>750</v>
      </c>
    </row>
    <row r="14" spans="1:6" x14ac:dyDescent="0.25">
      <c r="A14" s="3" t="s">
        <v>30</v>
      </c>
      <c r="B14" s="16"/>
      <c r="C14" s="16">
        <f>C11-C12-C13</f>
        <v>760</v>
      </c>
      <c r="D14" s="16">
        <f>D11-D12-D13</f>
        <v>1000</v>
      </c>
      <c r="E14" s="16">
        <f>E11-E12-E13</f>
        <v>1000</v>
      </c>
    </row>
    <row r="15" spans="1:6" x14ac:dyDescent="0.25">
      <c r="A15" s="5" t="s">
        <v>26</v>
      </c>
      <c r="B15" s="6"/>
      <c r="C15" s="6">
        <f>C5</f>
        <v>625</v>
      </c>
      <c r="D15" s="6">
        <f>D5</f>
        <v>625</v>
      </c>
      <c r="E15" s="6">
        <f>E5</f>
        <v>625</v>
      </c>
    </row>
    <row r="16" spans="1:6" x14ac:dyDescent="0.25">
      <c r="A16" s="3" t="s">
        <v>31</v>
      </c>
      <c r="B16" s="16"/>
      <c r="C16" s="16">
        <f>C14-C15</f>
        <v>135</v>
      </c>
      <c r="D16" s="16">
        <f>D14-D15</f>
        <v>375</v>
      </c>
      <c r="E16" s="16">
        <f>E14-E15</f>
        <v>375</v>
      </c>
    </row>
    <row r="17" spans="1:5" x14ac:dyDescent="0.25">
      <c r="A17" s="5" t="s">
        <v>32</v>
      </c>
      <c r="B17" s="6"/>
      <c r="C17" s="6">
        <f>C16*Dados1!$C$17</f>
        <v>54</v>
      </c>
      <c r="D17" s="6">
        <f>D16*Dados1!$C$17</f>
        <v>150</v>
      </c>
      <c r="E17" s="6">
        <f>E16*Dados1!$C$17</f>
        <v>150</v>
      </c>
    </row>
    <row r="18" spans="1:5" x14ac:dyDescent="0.25">
      <c r="A18" s="3" t="s">
        <v>33</v>
      </c>
      <c r="B18" s="16"/>
      <c r="C18" s="16">
        <f>C16-C17</f>
        <v>81</v>
      </c>
      <c r="D18" s="16">
        <f>D16-D17</f>
        <v>225</v>
      </c>
      <c r="E18" s="16">
        <f>E16-E17</f>
        <v>225</v>
      </c>
    </row>
    <row r="19" spans="1:5" x14ac:dyDescent="0.25">
      <c r="A19" s="3" t="s">
        <v>34</v>
      </c>
      <c r="B19" s="16"/>
      <c r="C19" s="16">
        <f>C18+C15</f>
        <v>706</v>
      </c>
      <c r="D19" s="16">
        <f>D18+D15</f>
        <v>850</v>
      </c>
      <c r="E19" s="16">
        <f>E18+E15</f>
        <v>850</v>
      </c>
    </row>
    <row r="22" spans="1:5" ht="14.25" customHeight="1" x14ac:dyDescent="0.25">
      <c r="A22" s="28" t="s">
        <v>35</v>
      </c>
      <c r="B22" s="28"/>
      <c r="C22" s="28"/>
      <c r="D22" s="28"/>
      <c r="E22" s="28"/>
    </row>
    <row r="23" spans="1:5" x14ac:dyDescent="0.25">
      <c r="A23" s="3" t="s">
        <v>1</v>
      </c>
      <c r="B23" s="4"/>
      <c r="C23" s="4">
        <v>1</v>
      </c>
      <c r="D23" s="4">
        <v>2</v>
      </c>
      <c r="E23" s="4">
        <v>3</v>
      </c>
    </row>
    <row r="24" spans="1:5" x14ac:dyDescent="0.25">
      <c r="A24" s="5" t="s">
        <v>36</v>
      </c>
      <c r="B24" s="6"/>
      <c r="C24" s="6">
        <f>C12</f>
        <v>540</v>
      </c>
      <c r="D24" s="6">
        <f>D12</f>
        <v>750</v>
      </c>
      <c r="E24" s="6">
        <f>E12</f>
        <v>750</v>
      </c>
    </row>
    <row r="25" spans="1:5" x14ac:dyDescent="0.25">
      <c r="A25" s="5" t="s">
        <v>37</v>
      </c>
      <c r="B25" s="6"/>
      <c r="C25" s="6">
        <v>0</v>
      </c>
      <c r="D25" s="6">
        <f>C26</f>
        <v>270</v>
      </c>
      <c r="E25" s="6">
        <f>D26</f>
        <v>375</v>
      </c>
    </row>
    <row r="26" spans="1:5" x14ac:dyDescent="0.25">
      <c r="A26" s="5" t="s">
        <v>38</v>
      </c>
      <c r="B26" s="6"/>
      <c r="C26" s="6">
        <f>C24*Dados1!$C$16/12</f>
        <v>270</v>
      </c>
      <c r="D26" s="6">
        <f>D24*Dados1!$C$16/12</f>
        <v>375</v>
      </c>
      <c r="E26" s="6">
        <f>E24*Dados1!$C$16/12</f>
        <v>375</v>
      </c>
    </row>
    <row r="27" spans="1:5" x14ac:dyDescent="0.25">
      <c r="A27" s="3" t="s">
        <v>39</v>
      </c>
      <c r="B27" s="16"/>
      <c r="C27" s="16">
        <f>C24-C25+C26</f>
        <v>810</v>
      </c>
      <c r="D27" s="16">
        <f>D24-D25+D26</f>
        <v>855</v>
      </c>
      <c r="E27" s="16">
        <f>E24-E25+E26</f>
        <v>750</v>
      </c>
    </row>
    <row r="30" spans="1:5" ht="14.25" customHeight="1" x14ac:dyDescent="0.25">
      <c r="A30" s="28" t="s">
        <v>40</v>
      </c>
      <c r="B30" s="28"/>
      <c r="C30" s="28"/>
      <c r="D30" s="28"/>
      <c r="E30" s="28"/>
    </row>
    <row r="31" spans="1:5" x14ac:dyDescent="0.25">
      <c r="A31" s="3" t="s">
        <v>41</v>
      </c>
      <c r="B31" s="4"/>
      <c r="C31" s="4">
        <v>1</v>
      </c>
      <c r="D31" s="4">
        <v>2</v>
      </c>
      <c r="E31" s="4">
        <v>3</v>
      </c>
    </row>
    <row r="32" spans="1:5" x14ac:dyDescent="0.25">
      <c r="A32" s="5" t="s">
        <v>42</v>
      </c>
      <c r="B32" s="6"/>
      <c r="C32" s="6">
        <f>C11*Dados1!$C$14/12</f>
        <v>750</v>
      </c>
      <c r="D32" s="6">
        <f>D11*Dados1!$C$14/12</f>
        <v>1041.6666666666667</v>
      </c>
      <c r="E32" s="6">
        <f>E11*Dados1!$C$14/12</f>
        <v>1041.6666666666667</v>
      </c>
    </row>
    <row r="33" spans="1:22" x14ac:dyDescent="0.25">
      <c r="A33" s="5" t="s">
        <v>43</v>
      </c>
      <c r="B33" s="6"/>
      <c r="C33" s="6">
        <f>C26</f>
        <v>270</v>
      </c>
      <c r="D33" s="6">
        <f>D26</f>
        <v>375</v>
      </c>
      <c r="E33" s="6">
        <f>E26</f>
        <v>375</v>
      </c>
    </row>
    <row r="34" spans="1:22" x14ac:dyDescent="0.25">
      <c r="A34" s="3" t="s">
        <v>44</v>
      </c>
      <c r="B34" s="3"/>
      <c r="C34" s="6"/>
      <c r="D34" s="6"/>
      <c r="E34" s="6"/>
    </row>
    <row r="35" spans="1:22" x14ac:dyDescent="0.25">
      <c r="A35" s="5" t="s">
        <v>45</v>
      </c>
      <c r="B35" s="6"/>
      <c r="C35" s="6">
        <f>C27*Dados1!$C$15/12</f>
        <v>135</v>
      </c>
      <c r="D35" s="6">
        <f>D27*Dados1!$C$15/12</f>
        <v>142.5</v>
      </c>
      <c r="E35" s="6">
        <f>E27*Dados1!$C$15/12</f>
        <v>125</v>
      </c>
    </row>
    <row r="36" spans="1:22" x14ac:dyDescent="0.25">
      <c r="A36" s="3" t="s">
        <v>46</v>
      </c>
      <c r="B36" s="16"/>
      <c r="C36" s="16">
        <f>C32+C33-C35</f>
        <v>885</v>
      </c>
      <c r="D36" s="16">
        <f>D32+D33-D35</f>
        <v>1274.1666666666667</v>
      </c>
      <c r="E36" s="16">
        <f>E32+E33-E35</f>
        <v>1291.6666666666667</v>
      </c>
    </row>
    <row r="37" spans="1:22" x14ac:dyDescent="0.25">
      <c r="A37" s="3" t="s">
        <v>47</v>
      </c>
      <c r="B37" s="16"/>
      <c r="C37" s="16">
        <f>C36-B36</f>
        <v>885</v>
      </c>
      <c r="D37" s="16">
        <f>D36-C36</f>
        <v>389.16666666666674</v>
      </c>
      <c r="E37" s="16">
        <f>E36-D36</f>
        <v>17.5</v>
      </c>
    </row>
    <row r="40" spans="1:22" ht="15" customHeight="1" x14ac:dyDescent="0.25">
      <c r="A40" s="1" t="s">
        <v>48</v>
      </c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</row>
    <row r="41" spans="1:22" x14ac:dyDescent="0.25">
      <c r="A41" s="3" t="s">
        <v>44</v>
      </c>
      <c r="B41" s="4">
        <v>0</v>
      </c>
      <c r="C41" s="4">
        <v>1</v>
      </c>
      <c r="D41" s="4">
        <v>2</v>
      </c>
      <c r="E41" s="4">
        <v>3</v>
      </c>
      <c r="F41" s="4">
        <v>4</v>
      </c>
      <c r="G41" s="4">
        <v>5</v>
      </c>
      <c r="H41" s="4">
        <v>6</v>
      </c>
      <c r="I41" s="4">
        <v>7</v>
      </c>
      <c r="J41" s="4">
        <v>8</v>
      </c>
      <c r="K41" s="4">
        <v>9</v>
      </c>
      <c r="L41" s="4">
        <v>10</v>
      </c>
      <c r="M41" s="4">
        <v>11</v>
      </c>
      <c r="N41" s="4">
        <v>12</v>
      </c>
      <c r="O41" s="4">
        <v>13</v>
      </c>
      <c r="P41" s="4">
        <v>14</v>
      </c>
      <c r="Q41" s="4">
        <v>15</v>
      </c>
      <c r="R41" s="4">
        <v>16</v>
      </c>
      <c r="S41" s="4">
        <v>17</v>
      </c>
      <c r="T41" s="4">
        <v>18</v>
      </c>
      <c r="U41" s="4">
        <v>19</v>
      </c>
      <c r="V41" s="4">
        <v>20</v>
      </c>
    </row>
    <row r="42" spans="1:22" x14ac:dyDescent="0.25">
      <c r="A42" s="5" t="s">
        <v>49</v>
      </c>
      <c r="B42" s="6"/>
      <c r="C42" s="6">
        <f>C19</f>
        <v>706</v>
      </c>
      <c r="D42" s="6">
        <f>D19</f>
        <v>850</v>
      </c>
      <c r="E42" s="6">
        <f>E19</f>
        <v>850</v>
      </c>
    </row>
    <row r="43" spans="1:22" x14ac:dyDescent="0.25">
      <c r="A43" s="5" t="s">
        <v>50</v>
      </c>
      <c r="B43" s="6"/>
      <c r="C43" s="6"/>
      <c r="D43" s="6"/>
      <c r="E43" s="6">
        <f>B65</f>
        <v>2812.5</v>
      </c>
    </row>
    <row r="44" spans="1:22" x14ac:dyDescent="0.25">
      <c r="A44" s="19" t="s">
        <v>24</v>
      </c>
      <c r="B44" s="16">
        <f>B42+B43</f>
        <v>0</v>
      </c>
      <c r="C44" s="16">
        <f>C42+C43</f>
        <v>706</v>
      </c>
      <c r="D44" s="16">
        <f>D42+D43</f>
        <v>850</v>
      </c>
      <c r="E44" s="16">
        <f>E42+E43</f>
        <v>3662.5</v>
      </c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</row>
    <row r="45" spans="1:22" x14ac:dyDescent="0.25">
      <c r="A45" s="3" t="s">
        <v>41</v>
      </c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</row>
    <row r="46" spans="1:22" x14ac:dyDescent="0.25">
      <c r="A46" s="5" t="s">
        <v>51</v>
      </c>
      <c r="B46" s="6">
        <f>B3</f>
        <v>2500</v>
      </c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</row>
    <row r="47" spans="1:22" x14ac:dyDescent="0.25">
      <c r="A47" s="5" t="s">
        <v>52</v>
      </c>
      <c r="B47" s="6"/>
      <c r="C47" s="6">
        <f>C37</f>
        <v>885</v>
      </c>
      <c r="D47" s="6">
        <f>D37</f>
        <v>389.16666666666674</v>
      </c>
      <c r="E47" s="6">
        <f>E37</f>
        <v>17.5</v>
      </c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</row>
    <row r="48" spans="1:22" x14ac:dyDescent="0.25">
      <c r="A48" s="19" t="s">
        <v>24</v>
      </c>
      <c r="B48" s="16">
        <f>B46+B47</f>
        <v>2500</v>
      </c>
      <c r="C48" s="16">
        <f>C46+C47</f>
        <v>885</v>
      </c>
      <c r="D48" s="16">
        <f>D46+D47</f>
        <v>389.16666666666674</v>
      </c>
      <c r="E48" s="16">
        <f>E46+E47</f>
        <v>17.5</v>
      </c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</row>
    <row r="49" spans="1:22" x14ac:dyDescent="0.25">
      <c r="A49" s="3" t="s">
        <v>53</v>
      </c>
      <c r="B49" s="16">
        <f>B44-B48</f>
        <v>-2500</v>
      </c>
      <c r="C49" s="16">
        <f>C44-C48</f>
        <v>-179</v>
      </c>
      <c r="D49" s="16">
        <f>D44-D48</f>
        <v>460.83333333333326</v>
      </c>
      <c r="E49" s="16">
        <f>E44-E48</f>
        <v>3645</v>
      </c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</row>
    <row r="50" spans="1:22" x14ac:dyDescent="0.25">
      <c r="A50" s="5" t="s">
        <v>54</v>
      </c>
      <c r="B50" s="6">
        <f>B49/(1+Dados1!$C$18)^B$41</f>
        <v>-2500</v>
      </c>
      <c r="C50" s="6">
        <f>C49/(1+Dados1!$C$18)^C$41</f>
        <v>-165.74074074074073</v>
      </c>
      <c r="D50" s="6">
        <f>D49/(1+Dados1!$C$18)^D$41</f>
        <v>395.09030635573833</v>
      </c>
      <c r="E50" s="6">
        <f>E49/(1+Dados1!$C$18)^E$41</f>
        <v>2893.5185185185182</v>
      </c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</row>
    <row r="51" spans="1:22" x14ac:dyDescent="0.25">
      <c r="A51" s="20" t="s">
        <v>55</v>
      </c>
      <c r="B51" s="21">
        <f>SUM(B50:E50)</f>
        <v>622.86808413351582</v>
      </c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</row>
    <row r="52" spans="1:22" x14ac:dyDescent="0.25">
      <c r="A52" s="5" t="s">
        <v>54</v>
      </c>
      <c r="B52" s="6">
        <f>B49/(1+$B$53)^B41</f>
        <v>-2500</v>
      </c>
      <c r="C52" s="6">
        <f>C49/(1+$B$53)^C41</f>
        <v>-162.5126279067911</v>
      </c>
      <c r="D52" s="6">
        <f>D49/(1+$B$53)^D41</f>
        <v>379.84992896423432</v>
      </c>
      <c r="E52" s="6">
        <f>(E42+E18/B53-E47)/(1+$B$53)^E41</f>
        <v>2282.6627757089891</v>
      </c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</row>
    <row r="53" spans="1:22" x14ac:dyDescent="0.25">
      <c r="A53" s="20" t="s">
        <v>56</v>
      </c>
      <c r="B53" s="23">
        <v>0.10145286742064875</v>
      </c>
      <c r="C53" s="21">
        <f>SUM(B52:E52)</f>
        <v>7.6766432357544545E-5</v>
      </c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</row>
    <row r="54" spans="1:22" x14ac:dyDescent="0.25">
      <c r="A54" s="5" t="s">
        <v>53</v>
      </c>
      <c r="B54" s="6">
        <f>B49</f>
        <v>-2500</v>
      </c>
      <c r="C54" s="6">
        <f>C49</f>
        <v>-179</v>
      </c>
      <c r="D54" s="6">
        <f>D49</f>
        <v>460.83333333333326</v>
      </c>
      <c r="E54" s="6">
        <f>E42-E47</f>
        <v>832.5</v>
      </c>
      <c r="F54" s="6">
        <f>$E$18</f>
        <v>225</v>
      </c>
      <c r="G54" s="6">
        <f>$E$18</f>
        <v>225</v>
      </c>
      <c r="H54" s="6">
        <f>$E$18</f>
        <v>225</v>
      </c>
      <c r="I54" s="6">
        <f>$E$18</f>
        <v>225</v>
      </c>
      <c r="J54" s="6">
        <f t="shared" ref="J54:V54" si="0">$E$18</f>
        <v>225</v>
      </c>
      <c r="K54" s="6">
        <f t="shared" si="0"/>
        <v>225</v>
      </c>
      <c r="L54" s="6">
        <f t="shared" si="0"/>
        <v>225</v>
      </c>
      <c r="M54" s="6">
        <f t="shared" si="0"/>
        <v>225</v>
      </c>
      <c r="N54" s="6">
        <f t="shared" si="0"/>
        <v>225</v>
      </c>
      <c r="O54" s="6">
        <f t="shared" si="0"/>
        <v>225</v>
      </c>
      <c r="P54" s="6">
        <f t="shared" si="0"/>
        <v>225</v>
      </c>
      <c r="Q54" s="6">
        <f t="shared" si="0"/>
        <v>225</v>
      </c>
      <c r="R54" s="6">
        <f t="shared" si="0"/>
        <v>225</v>
      </c>
      <c r="S54" s="6">
        <f t="shared" si="0"/>
        <v>225</v>
      </c>
      <c r="T54" s="6">
        <f t="shared" si="0"/>
        <v>225</v>
      </c>
      <c r="U54" s="6">
        <f t="shared" si="0"/>
        <v>225</v>
      </c>
      <c r="V54" s="6">
        <f t="shared" si="0"/>
        <v>225</v>
      </c>
    </row>
    <row r="55" spans="1:22" x14ac:dyDescent="0.25">
      <c r="A55" s="5" t="s">
        <v>54</v>
      </c>
      <c r="B55" s="6">
        <f>B49/(1+Dados1!$C$18)^B$41</f>
        <v>-2500</v>
      </c>
      <c r="C55" s="6">
        <f>C49/(1+Dados1!$C$18)^C$41</f>
        <v>-165.74074074074073</v>
      </c>
      <c r="D55" s="6">
        <f>D49/(1+Dados1!$C$18)^D$41</f>
        <v>395.09030635573833</v>
      </c>
      <c r="E55" s="6">
        <f>(E42-E47)/(1+Dados1!$C$18)^E$41</f>
        <v>660.86534064929117</v>
      </c>
      <c r="F55" s="6">
        <f>F54/(1+Dados1!$C$18)^F$41</f>
        <v>165.38171687920197</v>
      </c>
      <c r="G55" s="6">
        <f>G54/(1+Dados1!$C$18)^G$41</f>
        <v>153.13121933259444</v>
      </c>
      <c r="H55" s="6">
        <f>H54/(1+Dados1!$C$18)^H$41</f>
        <v>141.78816604869851</v>
      </c>
      <c r="I55" s="6">
        <f>I54/(1+Dados1!$C$18)^I$41</f>
        <v>131.28533893398011</v>
      </c>
      <c r="J55" s="6">
        <f>J54/(1+Dados1!$C$18)^J$41</f>
        <v>121.56049901294455</v>
      </c>
      <c r="K55" s="6">
        <f>K54/(1+Dados1!$C$18)^K$41</f>
        <v>112.55601760457827</v>
      </c>
      <c r="L55" s="6">
        <f>L54/(1+Dados1!$C$18)^L$41</f>
        <v>104.21853481905396</v>
      </c>
      <c r="M55" s="6">
        <f>M54/(1+Dados1!$C$18)^M$41</f>
        <v>96.498643350975883</v>
      </c>
      <c r="N55" s="6">
        <f>N54/(1+Dados1!$C$18)^N$41</f>
        <v>89.350595695348034</v>
      </c>
      <c r="O55" s="6">
        <f>O54/(1+Dados1!$C$18)^O$41</f>
        <v>82.73203305124818</v>
      </c>
      <c r="P55" s="6">
        <f>P54/(1+Dados1!$C$18)^P$41</f>
        <v>76.60373430671126</v>
      </c>
      <c r="Q55" s="6">
        <f>Q54/(1+Dados1!$C$18)^Q$41</f>
        <v>70.929383617325243</v>
      </c>
      <c r="R55" s="6">
        <f>R54/(1+Dados1!$C$18)^R$41</f>
        <v>65.675355201227077</v>
      </c>
      <c r="S55" s="6">
        <f>S54/(1+Dados1!$C$18)^S$41</f>
        <v>60.810514075210257</v>
      </c>
      <c r="T55" s="6">
        <f>T54/(1+Dados1!$C$18)^T$41</f>
        <v>56.306031551120597</v>
      </c>
      <c r="U55" s="6">
        <f>U54/(1+Dados1!$C$18)^U$41</f>
        <v>52.135214399185735</v>
      </c>
      <c r="V55" s="6">
        <f>V54/(1+Dados1!$C$18)^V$41</f>
        <v>48.273346665912719</v>
      </c>
    </row>
    <row r="56" spans="1:22" x14ac:dyDescent="0.25">
      <c r="A56" s="5" t="s">
        <v>57</v>
      </c>
      <c r="B56" s="6">
        <f>B50</f>
        <v>-2500</v>
      </c>
      <c r="C56" s="6">
        <f>B56+C55</f>
        <v>-2665.7407407407409</v>
      </c>
      <c r="D56" s="6">
        <f t="shared" ref="D56:E56" si="1">C56+D55</f>
        <v>-2270.6504343850024</v>
      </c>
      <c r="E56" s="6">
        <f t="shared" si="1"/>
        <v>-1609.7850937357111</v>
      </c>
      <c r="F56" s="6">
        <f>E56+F55</f>
        <v>-1444.4033768565091</v>
      </c>
      <c r="G56" s="6">
        <f t="shared" ref="G56:H56" si="2">F56+G55</f>
        <v>-1291.2721575239148</v>
      </c>
      <c r="H56" s="6">
        <f t="shared" si="2"/>
        <v>-1149.4839914752163</v>
      </c>
      <c r="I56" s="6">
        <f t="shared" ref="I56" si="3">H56+I55</f>
        <v>-1018.1986525412361</v>
      </c>
      <c r="J56" s="6">
        <f t="shared" ref="J56" si="4">I56+J55</f>
        <v>-896.63815352829158</v>
      </c>
      <c r="K56" s="6">
        <f t="shared" ref="K56" si="5">J56+K55</f>
        <v>-784.08213592371328</v>
      </c>
      <c r="L56" s="6">
        <f t="shared" ref="L56" si="6">K56+L55</f>
        <v>-679.86360110465932</v>
      </c>
      <c r="M56" s="6">
        <f t="shared" ref="M56:N56" si="7">L56+M55</f>
        <v>-583.36495775368348</v>
      </c>
      <c r="N56" s="6">
        <f t="shared" si="7"/>
        <v>-494.01436205833545</v>
      </c>
      <c r="O56" s="6">
        <f t="shared" ref="O56" si="8">N56+O55</f>
        <v>-411.28232900708724</v>
      </c>
      <c r="P56" s="6">
        <f t="shared" ref="P56" si="9">O56+P55</f>
        <v>-334.67859470037598</v>
      </c>
      <c r="Q56" s="6">
        <f t="shared" ref="Q56" si="10">P56+Q55</f>
        <v>-263.74921108305074</v>
      </c>
      <c r="R56" s="6">
        <f t="shared" ref="R56" si="11">Q56+R55</f>
        <v>-198.07385588182365</v>
      </c>
      <c r="S56" s="6">
        <f t="shared" ref="S56" si="12">R56+S55</f>
        <v>-137.2633418066134</v>
      </c>
      <c r="T56" s="6">
        <f t="shared" ref="T56" si="13">S56+T55</f>
        <v>-80.9573102554928</v>
      </c>
      <c r="U56" s="6">
        <f t="shared" ref="U56" si="14">T56+U55</f>
        <v>-28.822095856307065</v>
      </c>
      <c r="V56" s="6">
        <f t="shared" ref="V56" si="15">U56+V55</f>
        <v>19.451250809605654</v>
      </c>
    </row>
    <row r="57" spans="1:22" x14ac:dyDescent="0.25">
      <c r="A57" s="20" t="s">
        <v>58</v>
      </c>
      <c r="B57" s="24">
        <f>U41+(-U56)/V55</f>
        <v>19.597060238142952</v>
      </c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</row>
    <row r="58" spans="1:22" x14ac:dyDescent="0.25">
      <c r="A58" s="5" t="s">
        <v>59</v>
      </c>
      <c r="B58" s="6">
        <f>B49+B46</f>
        <v>0</v>
      </c>
      <c r="C58" s="6">
        <f>C49+C46</f>
        <v>-179</v>
      </c>
      <c r="D58" s="6">
        <f>D49+D46</f>
        <v>460.83333333333326</v>
      </c>
      <c r="E58" s="6">
        <f>E49+E46</f>
        <v>3645</v>
      </c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</row>
    <row r="59" spans="1:22" x14ac:dyDescent="0.25">
      <c r="A59" s="5" t="s">
        <v>60</v>
      </c>
      <c r="B59" s="6">
        <f>B58/(1+Dados1!$C$18)^B$41</f>
        <v>0</v>
      </c>
      <c r="C59" s="6">
        <f>C58/(1+Dados1!$C$18)^C$41</f>
        <v>-165.74074074074073</v>
      </c>
      <c r="D59" s="6">
        <f>D58/(1+Dados1!$C$18)^D$41</f>
        <v>395.09030635573833</v>
      </c>
      <c r="E59" s="6">
        <f>E58/(1+Dados1!$C$18)^E$41</f>
        <v>2893.5185185185182</v>
      </c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</row>
    <row r="60" spans="1:22" x14ac:dyDescent="0.25">
      <c r="A60" s="5" t="s">
        <v>23</v>
      </c>
      <c r="B60" s="6">
        <f>B3</f>
        <v>2500</v>
      </c>
      <c r="C60" s="6">
        <f>C3</f>
        <v>0</v>
      </c>
      <c r="D60" s="6">
        <f>D3</f>
        <v>0</v>
      </c>
      <c r="E60" s="6">
        <f>E3</f>
        <v>0</v>
      </c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</row>
    <row r="61" spans="1:22" x14ac:dyDescent="0.25">
      <c r="A61" s="5" t="s">
        <v>61</v>
      </c>
      <c r="B61" s="6">
        <f>B60/(1+Dados1!$C$18)^B$41</f>
        <v>2500</v>
      </c>
      <c r="C61" s="6">
        <f>C60/(1+Dados1!$C$18)^C$41</f>
        <v>0</v>
      </c>
      <c r="D61" s="6">
        <f>D60/(1+Dados1!$C$18)^D$41</f>
        <v>0</v>
      </c>
      <c r="E61" s="6">
        <f>E60/(1+Dados1!$C$18)^E$41</f>
        <v>0</v>
      </c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</row>
    <row r="62" spans="1:22" x14ac:dyDescent="0.25">
      <c r="A62" s="20" t="s">
        <v>62</v>
      </c>
      <c r="B62" s="24">
        <f>SUM(B59:E59)/SUM(B61:E61)</f>
        <v>1.2491472336534064</v>
      </c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</row>
    <row r="64" spans="1:22" x14ac:dyDescent="0.25">
      <c r="A64" s="20" t="s">
        <v>67</v>
      </c>
      <c r="B64" s="21">
        <f>E18</f>
        <v>225</v>
      </c>
    </row>
    <row r="65" spans="1:2" x14ac:dyDescent="0.25">
      <c r="A65" s="20" t="s">
        <v>64</v>
      </c>
      <c r="B65" s="21">
        <f>B64/Dados1!C18</f>
        <v>2812.5</v>
      </c>
    </row>
  </sheetData>
  <mergeCells count="3">
    <mergeCell ref="A9:E9"/>
    <mergeCell ref="A22:E22"/>
    <mergeCell ref="A30:E30"/>
  </mergeCells>
  <pageMargins left="0.75" right="0.75" top="1" bottom="1" header="0.5" footer="0.5"/>
  <pageSetup paperSize="9" orientation="portrait" horizontalDpi="4294967293" verticalDpi="2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66"/>
  <sheetViews>
    <sheetView topLeftCell="A16" zoomScaleNormal="100" workbookViewId="0">
      <selection activeCell="H63" sqref="H63"/>
    </sheetView>
  </sheetViews>
  <sheetFormatPr defaultRowHeight="10.5" x14ac:dyDescent="0.25"/>
  <cols>
    <col min="1" max="1" width="34.85546875" style="2" customWidth="1"/>
    <col min="2" max="5" width="8.85546875" style="2" customWidth="1"/>
    <col min="6" max="16384" width="9.140625" style="2"/>
  </cols>
  <sheetData>
    <row r="1" spans="1:6" ht="14.25" customHeight="1" x14ac:dyDescent="0.25">
      <c r="A1" s="25" t="s">
        <v>22</v>
      </c>
      <c r="B1" s="25"/>
      <c r="C1" s="25"/>
      <c r="D1" s="25"/>
      <c r="E1" s="25"/>
      <c r="F1" s="25"/>
    </row>
    <row r="2" spans="1:6" x14ac:dyDescent="0.25">
      <c r="A2" s="3" t="s">
        <v>23</v>
      </c>
      <c r="B2" s="4">
        <v>0</v>
      </c>
      <c r="C2" s="4">
        <v>1</v>
      </c>
      <c r="D2" s="4">
        <v>2</v>
      </c>
      <c r="E2" s="4">
        <v>3</v>
      </c>
      <c r="F2" s="4" t="s">
        <v>24</v>
      </c>
    </row>
    <row r="3" spans="1:6" x14ac:dyDescent="0.25">
      <c r="A3" s="5" t="s">
        <v>25</v>
      </c>
      <c r="B3" s="6">
        <f>Dados1!B6</f>
        <v>2500</v>
      </c>
      <c r="C3" s="6"/>
      <c r="D3" s="6"/>
      <c r="E3" s="6"/>
      <c r="F3" s="14">
        <f>SUM(B3:E3)</f>
        <v>2500</v>
      </c>
    </row>
    <row r="4" spans="1:6" x14ac:dyDescent="0.25">
      <c r="A4" s="3" t="s">
        <v>26</v>
      </c>
      <c r="B4" s="15" t="s">
        <v>15</v>
      </c>
      <c r="C4" s="16"/>
      <c r="D4" s="16"/>
      <c r="E4" s="16"/>
      <c r="F4" s="16"/>
    </row>
    <row r="5" spans="1:6" x14ac:dyDescent="0.25">
      <c r="A5" s="5" t="s">
        <v>25</v>
      </c>
      <c r="B5" s="17">
        <f>Dados1!C13</f>
        <v>0.25</v>
      </c>
      <c r="C5" s="6">
        <f>$B$5*$B$3</f>
        <v>625</v>
      </c>
      <c r="D5" s="6">
        <f>$B$5*$B$3</f>
        <v>625</v>
      </c>
      <c r="E5" s="6">
        <f>$B$5*$B$3</f>
        <v>625</v>
      </c>
      <c r="F5" s="14">
        <f>SUM(C5:E5)</f>
        <v>1875</v>
      </c>
    </row>
    <row r="6" spans="1:6" x14ac:dyDescent="0.25">
      <c r="A6" s="3" t="s">
        <v>27</v>
      </c>
      <c r="B6" s="16">
        <f>B3</f>
        <v>2500</v>
      </c>
      <c r="C6" s="16">
        <f>B6-C5</f>
        <v>1875</v>
      </c>
      <c r="D6" s="16">
        <f>C6-D5</f>
        <v>1250</v>
      </c>
      <c r="E6" s="16">
        <f>D6-E5</f>
        <v>625</v>
      </c>
      <c r="F6" s="16">
        <f>F3-F5</f>
        <v>625</v>
      </c>
    </row>
    <row r="9" spans="1:6" ht="14.25" customHeight="1" x14ac:dyDescent="0.25">
      <c r="A9" s="28" t="s">
        <v>28</v>
      </c>
      <c r="B9" s="28"/>
      <c r="C9" s="28"/>
      <c r="D9" s="28"/>
      <c r="E9" s="28"/>
    </row>
    <row r="10" spans="1:6" x14ac:dyDescent="0.25">
      <c r="A10" s="3" t="s">
        <v>1</v>
      </c>
      <c r="B10" s="4"/>
      <c r="C10" s="4">
        <v>1</v>
      </c>
      <c r="D10" s="4">
        <v>2</v>
      </c>
      <c r="E10" s="4">
        <v>3</v>
      </c>
    </row>
    <row r="11" spans="1:6" x14ac:dyDescent="0.25">
      <c r="A11" s="5" t="s">
        <v>2</v>
      </c>
      <c r="B11" s="6"/>
      <c r="C11" s="6">
        <f>Dados1!C3</f>
        <v>1800</v>
      </c>
      <c r="D11" s="6">
        <f>Dados1!D3</f>
        <v>2500</v>
      </c>
      <c r="E11" s="6">
        <f>Dados1!E3</f>
        <v>2500</v>
      </c>
    </row>
    <row r="12" spans="1:6" x14ac:dyDescent="0.25">
      <c r="A12" s="5" t="s">
        <v>29</v>
      </c>
      <c r="B12" s="6"/>
      <c r="C12" s="6">
        <f>Dados1!C4*'Resolução1 (VRC 2)'!C11</f>
        <v>540</v>
      </c>
      <c r="D12" s="6">
        <f>Dados1!D4*'Resolução1 (VRC 2)'!D11</f>
        <v>750</v>
      </c>
      <c r="E12" s="6">
        <f>Dados1!E4*'Resolução1 (VRC 2)'!E11</f>
        <v>750</v>
      </c>
    </row>
    <row r="13" spans="1:6" x14ac:dyDescent="0.25">
      <c r="A13" s="5"/>
      <c r="B13" s="6"/>
      <c r="C13" s="6">
        <f>Dados1!C5</f>
        <v>500</v>
      </c>
      <c r="D13" s="6">
        <f>Dados1!D5</f>
        <v>750</v>
      </c>
      <c r="E13" s="6">
        <f>Dados1!E5</f>
        <v>750</v>
      </c>
    </row>
    <row r="14" spans="1:6" x14ac:dyDescent="0.25">
      <c r="A14" s="3" t="s">
        <v>30</v>
      </c>
      <c r="B14" s="16"/>
      <c r="C14" s="16">
        <f>C11-C12-C13</f>
        <v>760</v>
      </c>
      <c r="D14" s="16">
        <f>D11-D12-D13</f>
        <v>1000</v>
      </c>
      <c r="E14" s="16">
        <f>E11-E12-E13</f>
        <v>1000</v>
      </c>
    </row>
    <row r="15" spans="1:6" x14ac:dyDescent="0.25">
      <c r="A15" s="5" t="s">
        <v>26</v>
      </c>
      <c r="B15" s="6"/>
      <c r="C15" s="6">
        <f>C5</f>
        <v>625</v>
      </c>
      <c r="D15" s="6">
        <f>D5</f>
        <v>625</v>
      </c>
      <c r="E15" s="6">
        <f>E5</f>
        <v>625</v>
      </c>
    </row>
    <row r="16" spans="1:6" x14ac:dyDescent="0.25">
      <c r="A16" s="3" t="s">
        <v>31</v>
      </c>
      <c r="B16" s="16"/>
      <c r="C16" s="16">
        <f>C14-C15</f>
        <v>135</v>
      </c>
      <c r="D16" s="16">
        <f>D14-D15</f>
        <v>375</v>
      </c>
      <c r="E16" s="16">
        <f>E14-E15</f>
        <v>375</v>
      </c>
    </row>
    <row r="17" spans="1:5" x14ac:dyDescent="0.25">
      <c r="A17" s="5" t="s">
        <v>32</v>
      </c>
      <c r="B17" s="6"/>
      <c r="C17" s="6">
        <f>C16*Dados1!$C$17</f>
        <v>54</v>
      </c>
      <c r="D17" s="6">
        <f>D16*Dados1!$C$17</f>
        <v>150</v>
      </c>
      <c r="E17" s="6">
        <f>E16*Dados1!$C$17</f>
        <v>150</v>
      </c>
    </row>
    <row r="18" spans="1:5" x14ac:dyDescent="0.25">
      <c r="A18" s="3" t="s">
        <v>33</v>
      </c>
      <c r="B18" s="16"/>
      <c r="C18" s="16">
        <f>C16-C17</f>
        <v>81</v>
      </c>
      <c r="D18" s="16">
        <f>D16-D17</f>
        <v>225</v>
      </c>
      <c r="E18" s="16">
        <f>E16-E17</f>
        <v>225</v>
      </c>
    </row>
    <row r="19" spans="1:5" x14ac:dyDescent="0.25">
      <c r="A19" s="3" t="s">
        <v>34</v>
      </c>
      <c r="B19" s="16"/>
      <c r="C19" s="16">
        <f>C18+C15</f>
        <v>706</v>
      </c>
      <c r="D19" s="16">
        <f>D18+D15</f>
        <v>850</v>
      </c>
      <c r="E19" s="16">
        <f>E18+E15</f>
        <v>850</v>
      </c>
    </row>
    <row r="22" spans="1:5" ht="14.25" customHeight="1" x14ac:dyDescent="0.25">
      <c r="A22" s="28" t="s">
        <v>35</v>
      </c>
      <c r="B22" s="28"/>
      <c r="C22" s="28"/>
      <c r="D22" s="28"/>
      <c r="E22" s="28"/>
    </row>
    <row r="23" spans="1:5" x14ac:dyDescent="0.25">
      <c r="A23" s="3" t="s">
        <v>1</v>
      </c>
      <c r="B23" s="4"/>
      <c r="C23" s="4">
        <v>1</v>
      </c>
      <c r="D23" s="4">
        <v>2</v>
      </c>
      <c r="E23" s="4">
        <v>3</v>
      </c>
    </row>
    <row r="24" spans="1:5" x14ac:dyDescent="0.25">
      <c r="A24" s="5" t="s">
        <v>36</v>
      </c>
      <c r="B24" s="6"/>
      <c r="C24" s="6">
        <f>C12</f>
        <v>540</v>
      </c>
      <c r="D24" s="6">
        <f>D12</f>
        <v>750</v>
      </c>
      <c r="E24" s="6">
        <f>E12</f>
        <v>750</v>
      </c>
    </row>
    <row r="25" spans="1:5" x14ac:dyDescent="0.25">
      <c r="A25" s="5" t="s">
        <v>37</v>
      </c>
      <c r="B25" s="6"/>
      <c r="C25" s="6">
        <v>0</v>
      </c>
      <c r="D25" s="6">
        <f>C26</f>
        <v>270</v>
      </c>
      <c r="E25" s="6">
        <f>D26</f>
        <v>375</v>
      </c>
    </row>
    <row r="26" spans="1:5" x14ac:dyDescent="0.25">
      <c r="A26" s="5" t="s">
        <v>38</v>
      </c>
      <c r="B26" s="6"/>
      <c r="C26" s="6">
        <f>C24*Dados1!$C$16/12</f>
        <v>270</v>
      </c>
      <c r="D26" s="6">
        <f>D24*Dados1!$C$16/12</f>
        <v>375</v>
      </c>
      <c r="E26" s="6">
        <f>E24*Dados1!$C$16/12</f>
        <v>375</v>
      </c>
    </row>
    <row r="27" spans="1:5" x14ac:dyDescent="0.25">
      <c r="A27" s="3" t="s">
        <v>39</v>
      </c>
      <c r="B27" s="16"/>
      <c r="C27" s="16">
        <f>C24-C25+C26</f>
        <v>810</v>
      </c>
      <c r="D27" s="16">
        <f>D24-D25+D26</f>
        <v>855</v>
      </c>
      <c r="E27" s="16">
        <f>E24-E25+E26</f>
        <v>750</v>
      </c>
    </row>
    <row r="30" spans="1:5" ht="14.25" customHeight="1" x14ac:dyDescent="0.25">
      <c r="A30" s="28" t="s">
        <v>40</v>
      </c>
      <c r="B30" s="28"/>
      <c r="C30" s="28"/>
      <c r="D30" s="28"/>
      <c r="E30" s="28"/>
    </row>
    <row r="31" spans="1:5" x14ac:dyDescent="0.25">
      <c r="A31" s="3" t="s">
        <v>41</v>
      </c>
      <c r="B31" s="4"/>
      <c r="C31" s="4">
        <v>1</v>
      </c>
      <c r="D31" s="4">
        <v>2</v>
      </c>
      <c r="E31" s="4">
        <v>3</v>
      </c>
    </row>
    <row r="32" spans="1:5" x14ac:dyDescent="0.25">
      <c r="A32" s="5" t="s">
        <v>42</v>
      </c>
      <c r="B32" s="6"/>
      <c r="C32" s="6">
        <f>C11*Dados1!$C$14/12</f>
        <v>750</v>
      </c>
      <c r="D32" s="6">
        <f>D11*Dados1!$C$14/12</f>
        <v>1041.6666666666667</v>
      </c>
      <c r="E32" s="6">
        <f>E11*Dados1!$C$14/12</f>
        <v>1041.6666666666667</v>
      </c>
    </row>
    <row r="33" spans="1:23" x14ac:dyDescent="0.25">
      <c r="A33" s="5" t="s">
        <v>43</v>
      </c>
      <c r="B33" s="6"/>
      <c r="C33" s="6">
        <f>C26</f>
        <v>270</v>
      </c>
      <c r="D33" s="6">
        <f>D26</f>
        <v>375</v>
      </c>
      <c r="E33" s="6">
        <f>E26</f>
        <v>375</v>
      </c>
    </row>
    <row r="34" spans="1:23" x14ac:dyDescent="0.25">
      <c r="A34" s="3" t="s">
        <v>44</v>
      </c>
      <c r="B34" s="3"/>
      <c r="C34" s="6"/>
      <c r="D34" s="6"/>
      <c r="E34" s="6"/>
    </row>
    <row r="35" spans="1:23" x14ac:dyDescent="0.25">
      <c r="A35" s="5" t="s">
        <v>45</v>
      </c>
      <c r="B35" s="6"/>
      <c r="C35" s="6">
        <f>C27*Dados1!$C$15/12</f>
        <v>135</v>
      </c>
      <c r="D35" s="6">
        <f>D27*Dados1!$C$15/12</f>
        <v>142.5</v>
      </c>
      <c r="E35" s="6">
        <f>E27*Dados1!$C$15/12</f>
        <v>125</v>
      </c>
    </row>
    <row r="36" spans="1:23" x14ac:dyDescent="0.25">
      <c r="A36" s="3" t="s">
        <v>46</v>
      </c>
      <c r="B36" s="16"/>
      <c r="C36" s="16">
        <f>C32+C33-C35</f>
        <v>885</v>
      </c>
      <c r="D36" s="16">
        <f>D32+D33-D35</f>
        <v>1274.1666666666667</v>
      </c>
      <c r="E36" s="16">
        <f>E32+E33-E35</f>
        <v>1291.6666666666667</v>
      </c>
    </row>
    <row r="37" spans="1:23" x14ac:dyDescent="0.25">
      <c r="A37" s="3" t="s">
        <v>47</v>
      </c>
      <c r="B37" s="16"/>
      <c r="C37" s="16">
        <f>C36-B36</f>
        <v>885</v>
      </c>
      <c r="D37" s="16">
        <f>D36-C36</f>
        <v>389.16666666666674</v>
      </c>
      <c r="E37" s="16">
        <f>E36-D36</f>
        <v>17.5</v>
      </c>
    </row>
    <row r="40" spans="1:23" ht="15" customHeight="1" x14ac:dyDescent="0.25">
      <c r="A40" s="28" t="s">
        <v>48</v>
      </c>
      <c r="B40" s="28"/>
      <c r="C40" s="28"/>
      <c r="D40" s="28"/>
      <c r="E40" s="28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</row>
    <row r="41" spans="1:23" x14ac:dyDescent="0.25">
      <c r="A41" s="3" t="s">
        <v>44</v>
      </c>
      <c r="B41" s="4">
        <v>0</v>
      </c>
      <c r="C41" s="4">
        <v>1</v>
      </c>
      <c r="D41" s="4">
        <v>2</v>
      </c>
      <c r="E41" s="4">
        <v>3</v>
      </c>
      <c r="F41" s="4">
        <v>4</v>
      </c>
      <c r="G41" s="4">
        <v>5</v>
      </c>
      <c r="H41" s="4">
        <v>6</v>
      </c>
      <c r="I41" s="4">
        <v>7</v>
      </c>
      <c r="J41" s="4">
        <v>8</v>
      </c>
      <c r="K41" s="4">
        <v>9</v>
      </c>
      <c r="L41" s="4">
        <v>10</v>
      </c>
      <c r="M41" s="4">
        <v>11</v>
      </c>
      <c r="N41" s="4">
        <v>12</v>
      </c>
      <c r="O41" s="4">
        <v>13</v>
      </c>
      <c r="P41" s="4">
        <v>14</v>
      </c>
      <c r="Q41" s="4">
        <v>15</v>
      </c>
      <c r="R41" s="4">
        <v>16</v>
      </c>
      <c r="S41" s="4">
        <v>17</v>
      </c>
      <c r="T41" s="4">
        <v>18</v>
      </c>
      <c r="U41" s="4">
        <v>19</v>
      </c>
      <c r="V41" s="4">
        <v>20</v>
      </c>
      <c r="W41" s="4">
        <v>21</v>
      </c>
    </row>
    <row r="42" spans="1:23" x14ac:dyDescent="0.25">
      <c r="A42" s="5" t="s">
        <v>49</v>
      </c>
      <c r="B42" s="6"/>
      <c r="C42" s="6">
        <f>C19</f>
        <v>706</v>
      </c>
      <c r="D42" s="6">
        <f>D19</f>
        <v>850</v>
      </c>
      <c r="E42" s="6">
        <f>E19</f>
        <v>850</v>
      </c>
    </row>
    <row r="43" spans="1:23" x14ac:dyDescent="0.25">
      <c r="A43" s="5" t="s">
        <v>50</v>
      </c>
      <c r="B43" s="6"/>
      <c r="C43" s="6"/>
      <c r="D43" s="6"/>
      <c r="E43" s="6">
        <f>B66</f>
        <v>3186.1111111111109</v>
      </c>
    </row>
    <row r="44" spans="1:23" x14ac:dyDescent="0.25">
      <c r="A44" s="19" t="s">
        <v>24</v>
      </c>
      <c r="B44" s="16">
        <f>B42+B43</f>
        <v>0</v>
      </c>
      <c r="C44" s="16">
        <f>C42+C43</f>
        <v>706</v>
      </c>
      <c r="D44" s="16">
        <f>D42+D43</f>
        <v>850</v>
      </c>
      <c r="E44" s="16">
        <f>E42+E43</f>
        <v>4036.1111111111109</v>
      </c>
    </row>
    <row r="45" spans="1:23" x14ac:dyDescent="0.25">
      <c r="A45" s="3" t="s">
        <v>41</v>
      </c>
      <c r="B45" s="6"/>
      <c r="C45" s="6"/>
      <c r="D45" s="6"/>
      <c r="E45" s="6"/>
    </row>
    <row r="46" spans="1:23" x14ac:dyDescent="0.25">
      <c r="A46" s="5" t="s">
        <v>51</v>
      </c>
      <c r="B46" s="6">
        <f>B3</f>
        <v>2500</v>
      </c>
      <c r="C46" s="6"/>
      <c r="D46" s="6"/>
      <c r="E46" s="6"/>
    </row>
    <row r="47" spans="1:23" x14ac:dyDescent="0.25">
      <c r="A47" s="5" t="s">
        <v>52</v>
      </c>
      <c r="B47" s="6"/>
      <c r="C47" s="6">
        <f>C37</f>
        <v>885</v>
      </c>
      <c r="D47" s="6">
        <f>D37</f>
        <v>389.16666666666674</v>
      </c>
      <c r="E47" s="6">
        <f>E37</f>
        <v>17.5</v>
      </c>
    </row>
    <row r="48" spans="1:23" x14ac:dyDescent="0.25">
      <c r="A48" s="19" t="s">
        <v>24</v>
      </c>
      <c r="B48" s="16">
        <f>B46+B47</f>
        <v>2500</v>
      </c>
      <c r="C48" s="16">
        <f>C46+C47</f>
        <v>885</v>
      </c>
      <c r="D48" s="16">
        <f>D46+D47</f>
        <v>389.16666666666674</v>
      </c>
      <c r="E48" s="16">
        <f>E46+E47</f>
        <v>17.5</v>
      </c>
    </row>
    <row r="49" spans="1:23" x14ac:dyDescent="0.25">
      <c r="A49" s="3" t="s">
        <v>53</v>
      </c>
      <c r="B49" s="16">
        <f>B44-B48</f>
        <v>-2500</v>
      </c>
      <c r="C49" s="16">
        <f>C44-C48</f>
        <v>-179</v>
      </c>
      <c r="D49" s="16">
        <f>D44-D48</f>
        <v>460.83333333333326</v>
      </c>
      <c r="E49" s="16">
        <f>E44-E48</f>
        <v>4018.6111111111109</v>
      </c>
    </row>
    <row r="50" spans="1:23" x14ac:dyDescent="0.25">
      <c r="A50" s="5" t="s">
        <v>54</v>
      </c>
      <c r="B50" s="6">
        <f>B49/(1+Dados1!$C$18)^B$41</f>
        <v>-2500</v>
      </c>
      <c r="C50" s="6">
        <f>C49/(1+Dados1!$C$18)^C$41</f>
        <v>-165.74074074074073</v>
      </c>
      <c r="D50" s="6">
        <f>D49/(1+Dados1!$C$18)^D$41</f>
        <v>395.09030635573833</v>
      </c>
      <c r="E50" s="6">
        <f>E49/(1+Dados1!$C$18)^E$41</f>
        <v>3190.1030641218867</v>
      </c>
    </row>
    <row r="51" spans="1:23" x14ac:dyDescent="0.25">
      <c r="A51" s="20" t="s">
        <v>55</v>
      </c>
      <c r="B51" s="21">
        <f>SUM(B50:E50)</f>
        <v>919.45262973688432</v>
      </c>
      <c r="C51" s="22"/>
      <c r="D51" s="22"/>
      <c r="E51" s="22"/>
    </row>
    <row r="52" spans="1:23" x14ac:dyDescent="0.25">
      <c r="A52" s="5" t="s">
        <v>54</v>
      </c>
      <c r="B52" s="6">
        <f>B49/(1+$B$53)^B41</f>
        <v>-2500</v>
      </c>
      <c r="C52" s="6">
        <f>C49/(1+$B$53)^C41</f>
        <v>-161.99468010575345</v>
      </c>
      <c r="D52" s="6">
        <f>D49/(1+$B$53)^D41</f>
        <v>377.4325301842083</v>
      </c>
      <c r="E52" s="6">
        <f>(E42+(E18*1.02-B64*2%)/(B53-2%)-E47)/(1+$B$53)^E41</f>
        <v>2284.5622326070225</v>
      </c>
    </row>
    <row r="53" spans="1:23" x14ac:dyDescent="0.25">
      <c r="A53" s="20" t="s">
        <v>56</v>
      </c>
      <c r="B53" s="23">
        <v>0.10497455770242033</v>
      </c>
      <c r="C53" s="21">
        <f>SUM(B52:E52)</f>
        <v>8.2685477082122816E-5</v>
      </c>
      <c r="D53" s="22"/>
      <c r="E53" s="22"/>
    </row>
    <row r="54" spans="1:23" x14ac:dyDescent="0.25">
      <c r="A54" s="5" t="s">
        <v>53</v>
      </c>
      <c r="B54" s="6">
        <f>B49</f>
        <v>-2500</v>
      </c>
      <c r="C54" s="6">
        <f>C49</f>
        <v>-179</v>
      </c>
      <c r="D54" s="6">
        <f>D49</f>
        <v>460.83333333333326</v>
      </c>
      <c r="E54" s="6">
        <f>E42-E47</f>
        <v>832.5</v>
      </c>
      <c r="F54" s="6">
        <f>(E18*1.02-B64*2%)</f>
        <v>191.16666666666666</v>
      </c>
      <c r="G54" s="6">
        <f>F54*1.02</f>
        <v>194.98999999999998</v>
      </c>
      <c r="H54" s="6">
        <f t="shared" ref="H54:V54" si="0">G54*1.02</f>
        <v>198.88979999999998</v>
      </c>
      <c r="I54" s="6">
        <f t="shared" si="0"/>
        <v>202.86759599999999</v>
      </c>
      <c r="J54" s="6">
        <f t="shared" si="0"/>
        <v>206.92494791999999</v>
      </c>
      <c r="K54" s="6">
        <f t="shared" si="0"/>
        <v>211.06344687839999</v>
      </c>
      <c r="L54" s="6">
        <f t="shared" si="0"/>
        <v>215.28471581596799</v>
      </c>
      <c r="M54" s="6">
        <f t="shared" si="0"/>
        <v>219.59041013228736</v>
      </c>
      <c r="N54" s="6">
        <f t="shared" si="0"/>
        <v>223.98221833493312</v>
      </c>
      <c r="O54" s="6">
        <f t="shared" si="0"/>
        <v>228.46186270163179</v>
      </c>
      <c r="P54" s="6">
        <f t="shared" si="0"/>
        <v>233.03109995566442</v>
      </c>
      <c r="Q54" s="6">
        <f t="shared" si="0"/>
        <v>237.69172195477771</v>
      </c>
      <c r="R54" s="6">
        <f t="shared" si="0"/>
        <v>242.44555639387326</v>
      </c>
      <c r="S54" s="6">
        <f t="shared" si="0"/>
        <v>247.29446752175073</v>
      </c>
      <c r="T54" s="6">
        <f t="shared" si="0"/>
        <v>252.24035687218574</v>
      </c>
      <c r="U54" s="6">
        <f t="shared" si="0"/>
        <v>257.28516400962945</v>
      </c>
      <c r="V54" s="6">
        <f t="shared" si="0"/>
        <v>262.43086728982206</v>
      </c>
      <c r="W54" s="6">
        <f t="shared" ref="W54" si="1">V54*1.02</f>
        <v>267.67948463561851</v>
      </c>
    </row>
    <row r="55" spans="1:23" x14ac:dyDescent="0.25">
      <c r="A55" s="5" t="s">
        <v>54</v>
      </c>
      <c r="B55" s="6">
        <f>B49/(1+Dados1!$C$18)^B$41</f>
        <v>-2500</v>
      </c>
      <c r="C55" s="6">
        <f>C49/(1+Dados1!$C$18)^C$41</f>
        <v>-165.74074074074073</v>
      </c>
      <c r="D55" s="6">
        <f>D49/(1+Dados1!$C$18)^D$41</f>
        <v>395.09030635573833</v>
      </c>
      <c r="E55" s="6">
        <f>(E42-E47)/(1+Dados1!$C$18)^E$41</f>
        <v>660.86534064929117</v>
      </c>
      <c r="F55" s="6">
        <f>F54/(1+Dados1!$C$18)^F$41</f>
        <v>140.51320685958865</v>
      </c>
      <c r="G55" s="6">
        <f>G54/(1+Dados1!$C$18)^G$41</f>
        <v>132.70691758961149</v>
      </c>
      <c r="H55" s="6">
        <f>H54/(1+Dados1!$C$18)^H$41</f>
        <v>125.33431105685527</v>
      </c>
      <c r="I55" s="6">
        <f>I54/(1+Dados1!$C$18)^I$41</f>
        <v>118.37129377591887</v>
      </c>
      <c r="J55" s="6">
        <f>J54/(1+Dados1!$C$18)^J$41</f>
        <v>111.79511078836782</v>
      </c>
      <c r="K55" s="6">
        <f>K54/(1+Dados1!$C$18)^K$41</f>
        <v>105.58427130012515</v>
      </c>
      <c r="L55" s="6">
        <f>L54/(1+Dados1!$C$18)^L$41</f>
        <v>99.718478450118198</v>
      </c>
      <c r="M55" s="6">
        <f>M54/(1+Dados1!$C$18)^M$41</f>
        <v>94.178562980667195</v>
      </c>
      <c r="N55" s="6">
        <f>N54/(1+Dados1!$C$18)^N$41</f>
        <v>88.946420592852348</v>
      </c>
      <c r="O55" s="6">
        <f>O54/(1+Dados1!$C$18)^O$41</f>
        <v>84.004952782138332</v>
      </c>
      <c r="P55" s="6">
        <f>P54/(1+Dados1!$C$18)^P$41</f>
        <v>79.338010960908406</v>
      </c>
      <c r="Q55" s="6">
        <f>Q54/(1+Dados1!$C$18)^Q$41</f>
        <v>74.930343685302375</v>
      </c>
      <c r="R55" s="6">
        <f>R54/(1+Dados1!$C$18)^R$41</f>
        <v>70.767546813896701</v>
      </c>
      <c r="S55" s="6">
        <f>S54/(1+Dados1!$C$18)^S$41</f>
        <v>66.836016435346878</v>
      </c>
      <c r="T55" s="6">
        <f>T54/(1+Dados1!$C$18)^T$41</f>
        <v>63.122904411160938</v>
      </c>
      <c r="U55" s="6">
        <f>U54/(1+Dados1!$C$18)^U$41</f>
        <v>59.616076388318653</v>
      </c>
      <c r="V55" s="6">
        <f>V54/(1+Dados1!$C$18)^V$41</f>
        <v>56.304072144523182</v>
      </c>
      <c r="W55" s="6">
        <f>W54/(1+Dados1!$C$18)^W$41</f>
        <v>53.176068136494116</v>
      </c>
    </row>
    <row r="56" spans="1:23" x14ac:dyDescent="0.25">
      <c r="A56" s="5" t="s">
        <v>57</v>
      </c>
      <c r="B56" s="6">
        <f>B50</f>
        <v>-2500</v>
      </c>
      <c r="C56" s="6">
        <f>B56+C55</f>
        <v>-2665.7407407407409</v>
      </c>
      <c r="D56" s="6">
        <f t="shared" ref="D56:E56" si="2">C56+D55</f>
        <v>-2270.6504343850024</v>
      </c>
      <c r="E56" s="6">
        <f t="shared" si="2"/>
        <v>-1609.7850937357111</v>
      </c>
      <c r="F56" s="6">
        <f>E56+F55</f>
        <v>-1469.2718868761226</v>
      </c>
      <c r="G56" s="6">
        <f t="shared" ref="G56:W56" si="3">F56+G55</f>
        <v>-1336.5649692865111</v>
      </c>
      <c r="H56" s="6">
        <f t="shared" si="3"/>
        <v>-1211.2306582296558</v>
      </c>
      <c r="I56" s="6">
        <f t="shared" si="3"/>
        <v>-1092.8593644537368</v>
      </c>
      <c r="J56" s="6">
        <f t="shared" si="3"/>
        <v>-981.06425366536905</v>
      </c>
      <c r="K56" s="6">
        <f t="shared" si="3"/>
        <v>-875.47998236524393</v>
      </c>
      <c r="L56" s="6">
        <f t="shared" si="3"/>
        <v>-775.76150391512579</v>
      </c>
      <c r="M56" s="6">
        <f t="shared" si="3"/>
        <v>-681.58294093445863</v>
      </c>
      <c r="N56" s="6">
        <f t="shared" si="3"/>
        <v>-592.63652034160623</v>
      </c>
      <c r="O56" s="6">
        <f t="shared" si="3"/>
        <v>-508.6315675594679</v>
      </c>
      <c r="P56" s="6">
        <f t="shared" si="3"/>
        <v>-429.29355659855946</v>
      </c>
      <c r="Q56" s="6">
        <f t="shared" si="3"/>
        <v>-354.36321291325709</v>
      </c>
      <c r="R56" s="6">
        <f t="shared" si="3"/>
        <v>-283.59566609936041</v>
      </c>
      <c r="S56" s="6">
        <f t="shared" si="3"/>
        <v>-216.75964966401352</v>
      </c>
      <c r="T56" s="6">
        <f t="shared" si="3"/>
        <v>-153.63674525285259</v>
      </c>
      <c r="U56" s="6">
        <f t="shared" si="3"/>
        <v>-94.020668864533945</v>
      </c>
      <c r="V56" s="6">
        <f t="shared" si="3"/>
        <v>-37.716596720010763</v>
      </c>
      <c r="W56" s="6">
        <f t="shared" si="3"/>
        <v>15.459471416483353</v>
      </c>
    </row>
    <row r="57" spans="1:23" x14ac:dyDescent="0.25">
      <c r="A57" s="20" t="s">
        <v>58</v>
      </c>
      <c r="B57" s="24">
        <f>V41+(-V56)/W55</f>
        <v>20.70927765142768</v>
      </c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</row>
    <row r="58" spans="1:23" x14ac:dyDescent="0.25">
      <c r="A58" s="5" t="s">
        <v>59</v>
      </c>
      <c r="B58" s="6">
        <f>B49+B46</f>
        <v>0</v>
      </c>
      <c r="C58" s="6">
        <f>C49+C46</f>
        <v>-179</v>
      </c>
      <c r="D58" s="6">
        <f>D49+D46</f>
        <v>460.83333333333326</v>
      </c>
      <c r="E58" s="6">
        <f>E49+E46</f>
        <v>4018.6111111111109</v>
      </c>
    </row>
    <row r="59" spans="1:23" x14ac:dyDescent="0.25">
      <c r="A59" s="5" t="s">
        <v>60</v>
      </c>
      <c r="B59" s="6">
        <f>B58/(1+Dados1!$C$18)^B$41</f>
        <v>0</v>
      </c>
      <c r="C59" s="6">
        <f>C58/(1+Dados1!$C$18)^C$41</f>
        <v>-165.74074074074073</v>
      </c>
      <c r="D59" s="6">
        <f>D58/(1+Dados1!$C$18)^D$41</f>
        <v>395.09030635573833</v>
      </c>
      <c r="E59" s="6">
        <f>E58/(1+Dados1!$C$18)^E$41</f>
        <v>3190.1030641218867</v>
      </c>
    </row>
    <row r="60" spans="1:23" x14ac:dyDescent="0.25">
      <c r="A60" s="5" t="s">
        <v>23</v>
      </c>
      <c r="B60" s="6">
        <f>B3</f>
        <v>2500</v>
      </c>
      <c r="C60" s="6">
        <f>C3</f>
        <v>0</v>
      </c>
      <c r="D60" s="6">
        <f>D3</f>
        <v>0</v>
      </c>
      <c r="E60" s="6">
        <f>E3</f>
        <v>0</v>
      </c>
    </row>
    <row r="61" spans="1:23" x14ac:dyDescent="0.25">
      <c r="A61" s="5" t="s">
        <v>61</v>
      </c>
      <c r="B61" s="6">
        <f>B60/(1+Dados1!$C$18)^B$41</f>
        <v>2500</v>
      </c>
      <c r="C61" s="6">
        <f>C60/(1+Dados1!$C$18)^C$41</f>
        <v>0</v>
      </c>
      <c r="D61" s="6">
        <f>D60/(1+Dados1!$C$18)^D$41</f>
        <v>0</v>
      </c>
      <c r="E61" s="6">
        <f>E60/(1+Dados1!$C$18)^E$41</f>
        <v>0</v>
      </c>
    </row>
    <row r="62" spans="1:23" x14ac:dyDescent="0.25">
      <c r="A62" s="20" t="s">
        <v>62</v>
      </c>
      <c r="B62" s="24">
        <f>SUM(B59:E59)/SUM(B61:E61)</f>
        <v>1.3677810518947537</v>
      </c>
      <c r="C62" s="22"/>
      <c r="D62" s="22"/>
      <c r="E62" s="22"/>
    </row>
    <row r="64" spans="1:23" x14ac:dyDescent="0.25">
      <c r="A64" s="20" t="s">
        <v>68</v>
      </c>
      <c r="B64" s="21">
        <f>F6+E36</f>
        <v>1916.6666666666667</v>
      </c>
    </row>
    <row r="65" spans="1:2" x14ac:dyDescent="0.25">
      <c r="A65" s="20" t="s">
        <v>67</v>
      </c>
      <c r="B65" s="21">
        <f>(E18*1.02-B64*2%)</f>
        <v>191.16666666666666</v>
      </c>
    </row>
    <row r="66" spans="1:2" x14ac:dyDescent="0.25">
      <c r="A66" s="20" t="s">
        <v>65</v>
      </c>
      <c r="B66" s="21">
        <f>B65/(Dados1!C18-2%)</f>
        <v>3186.1111111111109</v>
      </c>
    </row>
  </sheetData>
  <mergeCells count="4">
    <mergeCell ref="A9:E9"/>
    <mergeCell ref="A22:E22"/>
    <mergeCell ref="A30:E30"/>
    <mergeCell ref="A40:E40"/>
  </mergeCells>
  <pageMargins left="0.75" right="0.75" top="1" bottom="1" header="0.5" footer="0.5"/>
  <pageSetup paperSize="9" orientation="portrait" horizontalDpi="4294967293" verticalDpi="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Dados1</vt:lpstr>
      <vt:lpstr>Resolução1</vt:lpstr>
      <vt:lpstr>Resolução1 (VRL)</vt:lpstr>
      <vt:lpstr>Resolução1 (VRL EF)</vt:lpstr>
      <vt:lpstr>Resolução1 (VRC 0)</vt:lpstr>
      <vt:lpstr>Resolução1 (VRC 2)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ED-ROM</dc:creator>
  <cp:lastModifiedBy>António Vilela</cp:lastModifiedBy>
  <dcterms:created xsi:type="dcterms:W3CDTF">2010-09-14T21:53:44Z</dcterms:created>
  <dcterms:modified xsi:type="dcterms:W3CDTF">2013-09-25T21:16:58Z</dcterms:modified>
</cp:coreProperties>
</file>