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DADOS" sheetId="4" r:id="rId1"/>
    <sheet name="Alínea a)" sheetId="1" r:id="rId2"/>
    <sheet name="Alínea b)" sheetId="2" r:id="rId3"/>
    <sheet name="Alínea c)" sheetId="3" r:id="rId4"/>
  </sheets>
  <calcPr calcId="145621"/>
</workbook>
</file>

<file path=xl/calcChain.xml><?xml version="1.0" encoding="utf-8"?>
<calcChain xmlns="http://schemas.openxmlformats.org/spreadsheetml/2006/main">
  <c r="B24" i="3" l="1"/>
  <c r="B23" i="3"/>
  <c r="B22" i="3"/>
  <c r="B21" i="3"/>
  <c r="B20" i="3"/>
  <c r="B19" i="3"/>
  <c r="B18" i="3"/>
  <c r="E17" i="3"/>
  <c r="E16" i="3"/>
  <c r="C16" i="3"/>
  <c r="D16" i="3"/>
  <c r="B16" i="3"/>
  <c r="E15" i="3"/>
  <c r="C15" i="3"/>
  <c r="D15" i="3"/>
  <c r="B15" i="3"/>
  <c r="B11" i="1"/>
  <c r="E14" i="3"/>
  <c r="E13" i="3"/>
  <c r="C13" i="3"/>
  <c r="D13" i="3"/>
  <c r="B13" i="3"/>
  <c r="C10" i="3"/>
  <c r="E12" i="3"/>
  <c r="C12" i="3"/>
  <c r="D12" i="3"/>
  <c r="B12" i="3"/>
  <c r="B10" i="3"/>
  <c r="C11" i="3"/>
  <c r="D11" i="3"/>
  <c r="E11" i="3"/>
  <c r="B11" i="3"/>
  <c r="E10" i="3"/>
  <c r="D10" i="3"/>
  <c r="E8" i="3"/>
  <c r="D8" i="3"/>
  <c r="E7" i="3"/>
  <c r="D7" i="3"/>
  <c r="C9" i="3"/>
  <c r="D6" i="3" s="1"/>
  <c r="B9" i="3"/>
  <c r="C6" i="3"/>
  <c r="E5" i="3"/>
  <c r="D5" i="3"/>
  <c r="D9" i="3" l="1"/>
  <c r="E6" i="3" s="1"/>
  <c r="E9" i="3" s="1"/>
  <c r="D6" i="1"/>
  <c r="D8" i="1"/>
  <c r="C9" i="1"/>
  <c r="B9" i="1"/>
  <c r="B7" i="1"/>
  <c r="C15" i="4"/>
  <c r="B21" i="2" l="1"/>
  <c r="B10" i="2"/>
  <c r="C9" i="2"/>
  <c r="C10" i="2" s="1"/>
  <c r="B9" i="2"/>
  <c r="D8" i="2"/>
  <c r="E8" i="2" s="1"/>
  <c r="C7" i="2"/>
  <c r="D7" i="2" s="1"/>
  <c r="E7" i="2" s="1"/>
  <c r="E9" i="2" s="1"/>
  <c r="B7" i="2"/>
  <c r="D6" i="2"/>
  <c r="E6" i="2" s="1"/>
  <c r="D5" i="2"/>
  <c r="E5" i="2" s="1"/>
  <c r="B17" i="1"/>
  <c r="D5" i="1"/>
  <c r="C7" i="1"/>
  <c r="D7" i="1" s="1"/>
  <c r="E7" i="1" s="1"/>
  <c r="B12" i="4"/>
  <c r="B15" i="1"/>
  <c r="B28" i="1"/>
  <c r="B27" i="1"/>
  <c r="B24" i="1"/>
  <c r="B23" i="1"/>
  <c r="B20" i="1"/>
  <c r="B21" i="1" s="1"/>
  <c r="C20" i="4"/>
  <c r="C19" i="4"/>
  <c r="E8" i="1"/>
  <c r="E6" i="1"/>
  <c r="E5" i="1"/>
  <c r="E10" i="2" l="1"/>
  <c r="D9" i="2"/>
  <c r="D10" i="2" s="1"/>
  <c r="B22" i="1"/>
  <c r="B25" i="1"/>
  <c r="B26" i="1" s="1"/>
  <c r="B29" i="1" s="1"/>
  <c r="D9" i="1"/>
  <c r="E9" i="1"/>
  <c r="B7" i="3"/>
  <c r="C7" i="3"/>
  <c r="D11" i="2" l="1"/>
  <c r="C13" i="2"/>
  <c r="E13" i="2"/>
  <c r="C11" i="1"/>
  <c r="C12" i="1" s="1"/>
  <c r="B12" i="1"/>
  <c r="E11" i="1"/>
  <c r="E12" i="1" s="1"/>
  <c r="D11" i="1"/>
  <c r="D12" i="1" s="1"/>
  <c r="D13" i="2"/>
  <c r="B13" i="2"/>
  <c r="B11" i="2"/>
  <c r="E10" i="1"/>
  <c r="E13" i="1" s="1"/>
  <c r="E11" i="2"/>
  <c r="C11" i="2"/>
  <c r="C14" i="2" s="1"/>
  <c r="B14" i="1" l="1"/>
  <c r="B16" i="1" s="1"/>
  <c r="D14" i="2"/>
  <c r="E14" i="2"/>
  <c r="E12" i="2"/>
  <c r="E15" i="2" s="1"/>
  <c r="B16" i="2" s="1"/>
  <c r="B14" i="2"/>
  <c r="B18" i="1" l="1"/>
  <c r="B22" i="2"/>
</calcChain>
</file>

<file path=xl/sharedStrings.xml><?xml version="1.0" encoding="utf-8"?>
<sst xmlns="http://schemas.openxmlformats.org/spreadsheetml/2006/main" count="84" uniqueCount="61">
  <si>
    <t>Beta sector</t>
  </si>
  <si>
    <t>D/E sector</t>
  </si>
  <si>
    <t>T</t>
  </si>
  <si>
    <t>RD sector  (?)</t>
  </si>
  <si>
    <t>Rf</t>
  </si>
  <si>
    <t xml:space="preserve">E[r]-rf </t>
  </si>
  <si>
    <t>g (ano 3 e ss)</t>
  </si>
  <si>
    <t>VC Activo Extra Exploração</t>
  </si>
  <si>
    <t>VM Activo Extra Exploração</t>
  </si>
  <si>
    <t>Tx cupão</t>
  </si>
  <si>
    <t>DISCOUNTED CASH FLOW (DCF)</t>
  </si>
  <si>
    <t>EBIT(1-T)</t>
  </si>
  <si>
    <t>Amortizações</t>
  </si>
  <si>
    <t>Invest. CAPEX e WC</t>
  </si>
  <si>
    <t>FCFF</t>
  </si>
  <si>
    <t>Valor de Continuidade</t>
  </si>
  <si>
    <t>Factor de Desconto</t>
  </si>
  <si>
    <t>Valor de Continuidade Descontado</t>
  </si>
  <si>
    <t>Enterprise Value</t>
  </si>
  <si>
    <t>Valor de Mercado dos Activos Extra Exploração</t>
  </si>
  <si>
    <t>Firm Value</t>
  </si>
  <si>
    <t>Valor de Mercado da Dívida Financeira</t>
  </si>
  <si>
    <t>Equity Value</t>
  </si>
  <si>
    <t>ECONOMIC VALUE ADDED (EVA)</t>
  </si>
  <si>
    <t>Capital Investido (boy)</t>
  </si>
  <si>
    <t>Capital Investido (eoy)</t>
  </si>
  <si>
    <t>ROIC</t>
  </si>
  <si>
    <t>WACC</t>
  </si>
  <si>
    <t>Spread = ROIC -WACC</t>
  </si>
  <si>
    <t>EVA</t>
  </si>
  <si>
    <t>Valor do EVA descontdo</t>
  </si>
  <si>
    <t>MVA</t>
  </si>
  <si>
    <t xml:space="preserve">Invest. CAPEX </t>
  </si>
  <si>
    <t>Invest. WC</t>
  </si>
  <si>
    <t>Rd (YTM)</t>
  </si>
  <si>
    <t>VE Obrigações (VM)</t>
  </si>
  <si>
    <t xml:space="preserve"> VN Obrigações (VC)</t>
  </si>
  <si>
    <t>VM</t>
  </si>
  <si>
    <t>VC</t>
  </si>
  <si>
    <t>PBV *</t>
  </si>
  <si>
    <t>* PBV = E/Ec = 1,5</t>
  </si>
  <si>
    <t xml:space="preserve">E/E+D </t>
  </si>
  <si>
    <t>D/E+D</t>
  </si>
  <si>
    <t>Capital Próprio - Equity</t>
  </si>
  <si>
    <t xml:space="preserve">Dívida - Debt </t>
  </si>
  <si>
    <t>RE</t>
  </si>
  <si>
    <t>R0</t>
  </si>
  <si>
    <t>Beta Dívida Sector</t>
  </si>
  <si>
    <t>Beta Unlevered Sector</t>
  </si>
  <si>
    <t>Beta Levered Projecto</t>
  </si>
  <si>
    <t>Beta Dívida Projcto</t>
  </si>
  <si>
    <t>D/E Projecto</t>
  </si>
  <si>
    <t>Valor do FCFF descontado</t>
  </si>
  <si>
    <t>Capital Investido</t>
  </si>
  <si>
    <t>Assume-se que o Invest Cap é igual à soma do Invest CF e do Invest WC</t>
  </si>
  <si>
    <t>Assume-se que o Invest Cap boy = Capital Investido</t>
  </si>
  <si>
    <t>Valor do EVA Descontado</t>
  </si>
  <si>
    <t>Como Alternativa,</t>
  </si>
  <si>
    <t>Firm Value = MVA + Invested Capital + Valor de Mercado do Activo Extra Exploração</t>
  </si>
  <si>
    <t>MVA = Firm Value - Invested Capital - Valor de Mercado do Activo Extra Exploração</t>
  </si>
  <si>
    <t>Invested Capital = VC Equity + VC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</si>
</sst>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0.000"/>
    <numFmt numFmtId="166" formatCode="#,##0.0"/>
    <numFmt numFmtId="167" formatCode="0.000%"/>
  </numFmts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3F3F3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double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1" fillId="2" borderId="1" xfId="1"/>
    <xf numFmtId="0" fontId="3" fillId="3" borderId="2" xfId="2" applyBorder="1"/>
    <xf numFmtId="0" fontId="3" fillId="3" borderId="2" xfId="2" applyBorder="1" applyAlignment="1">
      <alignment horizontal="center"/>
    </xf>
    <xf numFmtId="9" fontId="1" fillId="2" borderId="1" xfId="1" applyNumberFormat="1"/>
    <xf numFmtId="0" fontId="2" fillId="4" borderId="1" xfId="1" applyFont="1" applyFill="1"/>
    <xf numFmtId="164" fontId="0" fillId="0" borderId="0" xfId="0" applyNumberFormat="1"/>
    <xf numFmtId="0" fontId="2" fillId="4" borderId="4" xfId="1" applyFont="1" applyFill="1" applyBorder="1"/>
    <xf numFmtId="0" fontId="2" fillId="4" borderId="5" xfId="1" applyFont="1" applyFill="1" applyBorder="1"/>
    <xf numFmtId="0" fontId="2" fillId="4" borderId="6" xfId="1" applyFont="1" applyFill="1" applyBorder="1"/>
    <xf numFmtId="165" fontId="0" fillId="0" borderId="7" xfId="0" applyNumberFormat="1" applyBorder="1"/>
    <xf numFmtId="165" fontId="0" fillId="0" borderId="8" xfId="0" applyNumberFormat="1" applyBorder="1"/>
    <xf numFmtId="1" fontId="0" fillId="0" borderId="8" xfId="0" applyNumberFormat="1" applyBorder="1"/>
    <xf numFmtId="167" fontId="0" fillId="0" borderId="8" xfId="3" applyNumberFormat="1" applyFont="1" applyBorder="1"/>
    <xf numFmtId="10" fontId="0" fillId="0" borderId="9" xfId="3" applyNumberFormat="1" applyFont="1" applyBorder="1"/>
    <xf numFmtId="0" fontId="5" fillId="0" borderId="10" xfId="1" applyFont="1" applyFill="1" applyBorder="1"/>
    <xf numFmtId="0" fontId="5" fillId="0" borderId="1" xfId="1" applyFont="1" applyFill="1" applyBorder="1"/>
    <xf numFmtId="0" fontId="5" fillId="0" borderId="0" xfId="1" applyFont="1" applyFill="1" applyBorder="1"/>
    <xf numFmtId="10" fontId="0" fillId="0" borderId="8" xfId="0" applyNumberFormat="1" applyBorder="1"/>
    <xf numFmtId="4" fontId="0" fillId="0" borderId="0" xfId="0" applyNumberFormat="1"/>
    <xf numFmtId="4" fontId="6" fillId="0" borderId="0" xfId="0" applyNumberFormat="1" applyFont="1"/>
    <xf numFmtId="0" fontId="3" fillId="3" borderId="11" xfId="2" applyBorder="1"/>
    <xf numFmtId="0" fontId="3" fillId="3" borderId="11" xfId="2" applyBorder="1" applyAlignment="1">
      <alignment horizontal="center"/>
    </xf>
    <xf numFmtId="0" fontId="5" fillId="0" borderId="3" xfId="1" applyFont="1" applyFill="1" applyBorder="1"/>
    <xf numFmtId="2" fontId="0" fillId="0" borderId="3" xfId="0" applyNumberFormat="1" applyBorder="1"/>
    <xf numFmtId="4" fontId="0" fillId="0" borderId="3" xfId="0" applyNumberFormat="1" applyBorder="1"/>
    <xf numFmtId="4" fontId="6" fillId="0" borderId="3" xfId="1" applyNumberFormat="1" applyFont="1" applyFill="1" applyBorder="1"/>
    <xf numFmtId="4" fontId="6" fillId="0" borderId="10" xfId="1" applyNumberFormat="1" applyFont="1" applyFill="1" applyBorder="1"/>
    <xf numFmtId="4" fontId="6" fillId="0" borderId="1" xfId="1" applyNumberFormat="1" applyFont="1" applyFill="1" applyBorder="1"/>
    <xf numFmtId="0" fontId="7" fillId="2" borderId="1" xfId="1" applyFont="1"/>
    <xf numFmtId="9" fontId="7" fillId="2" borderId="1" xfId="1" applyNumberFormat="1" applyFont="1"/>
    <xf numFmtId="4" fontId="7" fillId="2" borderId="1" xfId="1" applyNumberFormat="1" applyFont="1"/>
    <xf numFmtId="166" fontId="7" fillId="2" borderId="1" xfId="1" applyNumberFormat="1" applyFont="1"/>
    <xf numFmtId="4" fontId="6" fillId="2" borderId="1" xfId="1" applyNumberFormat="1" applyFont="1"/>
    <xf numFmtId="10" fontId="6" fillId="2" borderId="1" xfId="3" applyNumberFormat="1" applyFont="1" applyFill="1" applyBorder="1"/>
    <xf numFmtId="4" fontId="6" fillId="0" borderId="3" xfId="0" applyNumberFormat="1" applyFont="1" applyBorder="1"/>
    <xf numFmtId="2" fontId="6" fillId="2" borderId="1" xfId="1" applyNumberFormat="1" applyFont="1"/>
    <xf numFmtId="4" fontId="6" fillId="5" borderId="1" xfId="1" applyNumberFormat="1" applyFont="1" applyFill="1"/>
  </cellXfs>
  <cellStyles count="4">
    <cellStyle name="Cor1" xfId="2" builtinId="29"/>
    <cellStyle name="Normal" xfId="0" builtinId="0"/>
    <cellStyle name="Percentagem" xfId="3" builtinId="5"/>
    <cellStyle name="Saída" xfId="1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workbookViewId="0">
      <selection activeCell="C15" sqref="C15"/>
    </sheetView>
  </sheetViews>
  <sheetFormatPr defaultRowHeight="15" x14ac:dyDescent="0.25"/>
  <cols>
    <col min="1" max="1" width="28.5703125" customWidth="1"/>
    <col min="2" max="2" width="20" customWidth="1"/>
    <col min="3" max="3" width="11.7109375" bestFit="1" customWidth="1"/>
    <col min="6" max="6" width="18.7109375" customWidth="1"/>
  </cols>
  <sheetData>
    <row r="2" spans="1:6" x14ac:dyDescent="0.25">
      <c r="A2" s="5" t="s">
        <v>0</v>
      </c>
      <c r="B2" s="29">
        <v>1.4</v>
      </c>
      <c r="C2" s="29"/>
    </row>
    <row r="3" spans="1:6" x14ac:dyDescent="0.25">
      <c r="A3" s="5" t="s">
        <v>1</v>
      </c>
      <c r="B3" s="29">
        <v>0.8</v>
      </c>
      <c r="C3" s="29"/>
      <c r="F3" s="6" t="s">
        <v>40</v>
      </c>
    </row>
    <row r="4" spans="1:6" x14ac:dyDescent="0.25">
      <c r="A4" s="5" t="s">
        <v>3</v>
      </c>
      <c r="B4" s="30">
        <v>0.06</v>
      </c>
      <c r="C4" s="29"/>
    </row>
    <row r="5" spans="1:6" x14ac:dyDescent="0.25">
      <c r="A5" s="5" t="s">
        <v>2</v>
      </c>
      <c r="B5" s="30">
        <v>0.4</v>
      </c>
      <c r="C5" s="29"/>
    </row>
    <row r="6" spans="1:6" x14ac:dyDescent="0.25">
      <c r="A6" s="5" t="s">
        <v>4</v>
      </c>
      <c r="B6" s="30">
        <v>0.05</v>
      </c>
      <c r="C6" s="29"/>
    </row>
    <row r="7" spans="1:6" x14ac:dyDescent="0.25">
      <c r="A7" s="5" t="s">
        <v>5</v>
      </c>
      <c r="B7" s="30">
        <v>7.0000000000000007E-2</v>
      </c>
      <c r="C7" s="29"/>
    </row>
    <row r="8" spans="1:6" x14ac:dyDescent="0.25">
      <c r="A8" s="5"/>
      <c r="B8" s="29"/>
      <c r="C8" s="29"/>
    </row>
    <row r="9" spans="1:6" x14ac:dyDescent="0.25">
      <c r="A9" s="5" t="s">
        <v>6</v>
      </c>
      <c r="B9" s="30">
        <v>0.03</v>
      </c>
      <c r="C9" s="29"/>
    </row>
    <row r="10" spans="1:6" x14ac:dyDescent="0.25">
      <c r="A10" s="5"/>
      <c r="B10" s="29"/>
      <c r="C10" s="29"/>
    </row>
    <row r="11" spans="1:6" x14ac:dyDescent="0.25">
      <c r="A11" s="5" t="s">
        <v>7</v>
      </c>
      <c r="B11" s="31">
        <v>350000</v>
      </c>
      <c r="C11" s="29"/>
    </row>
    <row r="12" spans="1:6" x14ac:dyDescent="0.25">
      <c r="A12" s="5" t="s">
        <v>8</v>
      </c>
      <c r="B12" s="31">
        <f>450*850</f>
        <v>382500</v>
      </c>
      <c r="C12" s="29"/>
    </row>
    <row r="13" spans="1:6" x14ac:dyDescent="0.25">
      <c r="A13" s="5"/>
      <c r="B13" s="29"/>
      <c r="C13" s="29"/>
    </row>
    <row r="14" spans="1:6" x14ac:dyDescent="0.25">
      <c r="A14" s="5" t="s">
        <v>44</v>
      </c>
      <c r="B14" s="5" t="s">
        <v>36</v>
      </c>
      <c r="C14" s="31">
        <v>1500000</v>
      </c>
    </row>
    <row r="15" spans="1:6" x14ac:dyDescent="0.25">
      <c r="A15" s="5"/>
      <c r="B15" s="5" t="s">
        <v>35</v>
      </c>
      <c r="C15" s="31">
        <f>C14*110%</f>
        <v>1650000.0000000002</v>
      </c>
    </row>
    <row r="16" spans="1:6" x14ac:dyDescent="0.25">
      <c r="A16" s="5" t="s">
        <v>9</v>
      </c>
      <c r="B16" s="30">
        <v>0.06</v>
      </c>
      <c r="C16" s="31"/>
    </row>
    <row r="17" spans="1:3" x14ac:dyDescent="0.25">
      <c r="A17" s="5" t="s">
        <v>34</v>
      </c>
      <c r="B17" s="30">
        <v>0.05</v>
      </c>
      <c r="C17" s="31"/>
    </row>
    <row r="18" spans="1:3" x14ac:dyDescent="0.25">
      <c r="A18" s="5"/>
      <c r="B18" s="1"/>
      <c r="C18" s="31"/>
    </row>
    <row r="19" spans="1:3" x14ac:dyDescent="0.25">
      <c r="A19" s="5" t="s">
        <v>43</v>
      </c>
      <c r="B19" s="5" t="s">
        <v>37</v>
      </c>
      <c r="C19" s="31">
        <f>15*500000</f>
        <v>7500000</v>
      </c>
    </row>
    <row r="20" spans="1:3" x14ac:dyDescent="0.25">
      <c r="A20" s="5"/>
      <c r="B20" s="5" t="s">
        <v>38</v>
      </c>
      <c r="C20" s="31">
        <f>C19/C21</f>
        <v>5000000</v>
      </c>
    </row>
    <row r="21" spans="1:3" x14ac:dyDescent="0.25">
      <c r="A21" s="5"/>
      <c r="B21" s="4" t="s">
        <v>39</v>
      </c>
      <c r="C21" s="32">
        <v>1.5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B12" sqref="B12"/>
    </sheetView>
  </sheetViews>
  <sheetFormatPr defaultRowHeight="15" x14ac:dyDescent="0.25"/>
  <cols>
    <col min="1" max="1" width="42.28515625" customWidth="1"/>
    <col min="2" max="2" width="16.7109375" customWidth="1"/>
    <col min="3" max="3" width="21" bestFit="1" customWidth="1"/>
    <col min="4" max="4" width="16.5703125" customWidth="1"/>
    <col min="5" max="5" width="18.7109375" customWidth="1"/>
  </cols>
  <sheetData>
    <row r="2" spans="1:5" x14ac:dyDescent="0.25">
      <c r="A2" t="s">
        <v>10</v>
      </c>
    </row>
    <row r="3" spans="1:5" ht="15.75" thickBot="1" x14ac:dyDescent="0.3"/>
    <row r="4" spans="1:5" ht="16.5" thickTop="1" thickBot="1" x14ac:dyDescent="0.3">
      <c r="A4" s="2"/>
      <c r="B4" s="3">
        <v>1</v>
      </c>
      <c r="C4" s="3">
        <v>2</v>
      </c>
      <c r="D4" s="3">
        <v>3</v>
      </c>
      <c r="E4" s="3">
        <v>4</v>
      </c>
    </row>
    <row r="5" spans="1:5" ht="15.75" thickTop="1" x14ac:dyDescent="0.25">
      <c r="A5" s="15" t="s">
        <v>11</v>
      </c>
      <c r="B5" s="27">
        <v>1000000</v>
      </c>
      <c r="C5" s="27">
        <v>1100000</v>
      </c>
      <c r="D5" s="27">
        <f>C5*(1+DADOS!$B$9)</f>
        <v>1133000</v>
      </c>
      <c r="E5" s="27">
        <f>D5*(1+DADOS!$B$9)</f>
        <v>1166990</v>
      </c>
    </row>
    <row r="6" spans="1:5" x14ac:dyDescent="0.25">
      <c r="A6" s="16" t="s">
        <v>12</v>
      </c>
      <c r="B6" s="28">
        <v>150000</v>
      </c>
      <c r="C6" s="28">
        <v>160000</v>
      </c>
      <c r="D6" s="28">
        <f>C6*(1+DADOS!$B$9)</f>
        <v>164800</v>
      </c>
      <c r="E6" s="28">
        <f>D6*(1+DADOS!$B$9)</f>
        <v>169744</v>
      </c>
    </row>
    <row r="7" spans="1:5" x14ac:dyDescent="0.25">
      <c r="A7" s="16" t="s">
        <v>32</v>
      </c>
      <c r="B7" s="28">
        <f>400000+B6</f>
        <v>550000</v>
      </c>
      <c r="C7" s="28">
        <f>400000+C6</f>
        <v>560000</v>
      </c>
      <c r="D7" s="28">
        <f>C7*(1+DADOS!$B$9)</f>
        <v>576800</v>
      </c>
      <c r="E7" s="28">
        <f>D7*(1+DADOS!$B$9)</f>
        <v>594104</v>
      </c>
    </row>
    <row r="8" spans="1:5" x14ac:dyDescent="0.25">
      <c r="A8" s="16" t="s">
        <v>33</v>
      </c>
      <c r="B8" s="28">
        <v>200000</v>
      </c>
      <c r="C8" s="28">
        <v>180000</v>
      </c>
      <c r="D8" s="28">
        <f>C8*(1+DADOS!$B$9)</f>
        <v>185400</v>
      </c>
      <c r="E8" s="28">
        <f>D8*(1+DADOS!$B$9)</f>
        <v>190962</v>
      </c>
    </row>
    <row r="9" spans="1:5" x14ac:dyDescent="0.25">
      <c r="A9" s="16" t="s">
        <v>14</v>
      </c>
      <c r="B9" s="28">
        <f>B5+B6-B7-B8</f>
        <v>400000</v>
      </c>
      <c r="C9" s="28">
        <f>C5+C6-C7-C8</f>
        <v>520000</v>
      </c>
      <c r="D9" s="28">
        <f>D5+D6-D7-D8</f>
        <v>535600</v>
      </c>
      <c r="E9" s="28">
        <f>E5+E6-E7-E8</f>
        <v>551668</v>
      </c>
    </row>
    <row r="10" spans="1:5" x14ac:dyDescent="0.25">
      <c r="A10" s="16" t="s">
        <v>15</v>
      </c>
      <c r="B10" s="28"/>
      <c r="C10" s="28"/>
      <c r="D10" s="28"/>
      <c r="E10" s="28">
        <f>(E5*(1+DADOS!B9)-E7*(1+DADOS!B9)-E8*(1+DADOS!B9))/(B29-DADOS!B9)</f>
        <v>4866013.4276726115</v>
      </c>
    </row>
    <row r="11" spans="1:5" x14ac:dyDescent="0.25">
      <c r="A11" s="16" t="s">
        <v>16</v>
      </c>
      <c r="B11" s="28">
        <f>1/((1+$B$29)^B4)</f>
        <v>0.90021745616176307</v>
      </c>
      <c r="C11" s="28">
        <f t="shared" ref="C11:D11" si="0">1/((1+$B$29)^C4)</f>
        <v>0.81039146837835585</v>
      </c>
      <c r="D11" s="28">
        <f t="shared" si="0"/>
        <v>0.72952854615875928</v>
      </c>
      <c r="E11" s="28">
        <f>1/((1+$B$29)^E4)</f>
        <v>0.65673433202042775</v>
      </c>
    </row>
    <row r="12" spans="1:5" x14ac:dyDescent="0.25">
      <c r="A12" s="16" t="s">
        <v>52</v>
      </c>
      <c r="B12" s="28">
        <f>B9*B11</f>
        <v>360086.98246470524</v>
      </c>
      <c r="C12" s="28">
        <f t="shared" ref="C12:D12" si="1">C9*C11</f>
        <v>421403.56355674507</v>
      </c>
      <c r="D12" s="28">
        <f t="shared" si="1"/>
        <v>390735.48932263145</v>
      </c>
      <c r="E12" s="28">
        <f>E9*E11</f>
        <v>362299.31547704531</v>
      </c>
    </row>
    <row r="13" spans="1:5" x14ac:dyDescent="0.25">
      <c r="A13" s="16" t="s">
        <v>17</v>
      </c>
      <c r="B13" s="28"/>
      <c r="C13" s="28"/>
      <c r="D13" s="28"/>
      <c r="E13" s="28">
        <f>E10*E11</f>
        <v>3195678.0780250044</v>
      </c>
    </row>
    <row r="14" spans="1:5" x14ac:dyDescent="0.25">
      <c r="A14" s="16" t="s">
        <v>18</v>
      </c>
      <c r="B14" s="28">
        <f>SUM(B12:E12)+E13</f>
        <v>4730203.4288461311</v>
      </c>
      <c r="C14" s="28"/>
      <c r="D14" s="28"/>
      <c r="E14" s="28"/>
    </row>
    <row r="15" spans="1:5" x14ac:dyDescent="0.25">
      <c r="A15" s="16" t="s">
        <v>19</v>
      </c>
      <c r="B15" s="28">
        <f>DADOS!B12</f>
        <v>382500</v>
      </c>
      <c r="C15" s="28"/>
      <c r="D15" s="28"/>
      <c r="E15" s="28"/>
    </row>
    <row r="16" spans="1:5" x14ac:dyDescent="0.25">
      <c r="A16" s="16" t="s">
        <v>20</v>
      </c>
      <c r="B16" s="28">
        <f>B14+B15</f>
        <v>5112703.4288461311</v>
      </c>
      <c r="C16" s="28"/>
      <c r="D16" s="28"/>
      <c r="E16" s="28"/>
    </row>
    <row r="17" spans="1:5" x14ac:dyDescent="0.25">
      <c r="A17" s="16" t="s">
        <v>21</v>
      </c>
      <c r="B17" s="28">
        <f>DADOS!C15</f>
        <v>1650000.0000000002</v>
      </c>
      <c r="C17" s="28"/>
      <c r="D17" s="28"/>
      <c r="E17" s="28"/>
    </row>
    <row r="18" spans="1:5" x14ac:dyDescent="0.25">
      <c r="A18" s="16" t="s">
        <v>22</v>
      </c>
      <c r="B18" s="28">
        <f>B16-B17</f>
        <v>3462703.4288461311</v>
      </c>
      <c r="C18" s="28"/>
      <c r="D18" s="28"/>
      <c r="E18" s="28"/>
    </row>
    <row r="20" spans="1:5" x14ac:dyDescent="0.25">
      <c r="A20" s="7" t="s">
        <v>47</v>
      </c>
      <c r="B20" s="10">
        <f>(DADOS!B4-DADOS!B6)/DADOS!B7</f>
        <v>0.14285714285714277</v>
      </c>
    </row>
    <row r="21" spans="1:5" x14ac:dyDescent="0.25">
      <c r="A21" s="8" t="s">
        <v>48</v>
      </c>
      <c r="B21" s="11">
        <f>(DADOS!B2+B20*(1-DADOS!B5)*DADOS!B3)/(1+(1-DADOS!B5)*DADOS!B3)</f>
        <v>0.99227799227799218</v>
      </c>
    </row>
    <row r="22" spans="1:5" x14ac:dyDescent="0.25">
      <c r="A22" s="8" t="s">
        <v>46</v>
      </c>
      <c r="B22" s="18">
        <f>DADOS!B6+DADOS!B7*B21</f>
        <v>0.11945945945945946</v>
      </c>
    </row>
    <row r="23" spans="1:5" x14ac:dyDescent="0.25">
      <c r="A23" s="8" t="s">
        <v>50</v>
      </c>
      <c r="B23" s="12">
        <f>(DADOS!B17-DADOS!B6)/DADOS!B7</f>
        <v>0</v>
      </c>
    </row>
    <row r="24" spans="1:5" x14ac:dyDescent="0.25">
      <c r="A24" s="8" t="s">
        <v>51</v>
      </c>
      <c r="B24" s="11">
        <f>DADOS!C15/DADOS!C19</f>
        <v>0.22000000000000003</v>
      </c>
    </row>
    <row r="25" spans="1:5" x14ac:dyDescent="0.25">
      <c r="A25" s="8" t="s">
        <v>49</v>
      </c>
      <c r="B25" s="11">
        <f>(B21+(B21-B23)*(1-DADOS!B5)*B24)</f>
        <v>1.1232586872586872</v>
      </c>
    </row>
    <row r="26" spans="1:5" x14ac:dyDescent="0.25">
      <c r="A26" s="8" t="s">
        <v>45</v>
      </c>
      <c r="B26" s="13">
        <f>DADOS!B6+DADOS!B7*B25</f>
        <v>0.1286281081081081</v>
      </c>
    </row>
    <row r="27" spans="1:5" x14ac:dyDescent="0.25">
      <c r="A27" s="8" t="s">
        <v>41</v>
      </c>
      <c r="B27" s="11">
        <f>DADOS!$C$19/(DADOS!$C$19+DADOS!$C$15)</f>
        <v>0.81967213114754101</v>
      </c>
    </row>
    <row r="28" spans="1:5" x14ac:dyDescent="0.25">
      <c r="A28" s="8" t="s">
        <v>42</v>
      </c>
      <c r="B28" s="11">
        <f>DADOS!$C$15/(DADOS!$C$19+DADOS!$C$15)</f>
        <v>0.18032786885245905</v>
      </c>
    </row>
    <row r="29" spans="1:5" x14ac:dyDescent="0.25">
      <c r="A29" s="9" t="s">
        <v>27</v>
      </c>
      <c r="B29" s="14">
        <f>(B26*B27)+(DADOS!B17*(1-DADOS!B5)*B28)</f>
        <v>0.11084271156402303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2"/>
  <sheetViews>
    <sheetView tabSelected="1" workbookViewId="0">
      <selection activeCell="C13" sqref="C13:C14"/>
    </sheetView>
  </sheetViews>
  <sheetFormatPr defaultRowHeight="15" x14ac:dyDescent="0.25"/>
  <cols>
    <col min="1" max="1" width="32.42578125" bestFit="1" customWidth="1"/>
    <col min="2" max="2" width="12.7109375" bestFit="1" customWidth="1"/>
    <col min="3" max="4" width="11.7109375" bestFit="1" customWidth="1"/>
    <col min="5" max="5" width="12.7109375" bestFit="1" customWidth="1"/>
  </cols>
  <sheetData>
    <row r="3" spans="1:6" ht="15.75" thickBot="1" x14ac:dyDescent="0.3"/>
    <row r="4" spans="1:6" ht="15.75" thickTop="1" x14ac:dyDescent="0.25">
      <c r="A4" s="21"/>
      <c r="B4" s="22">
        <v>1</v>
      </c>
      <c r="C4" s="22">
        <v>2</v>
      </c>
      <c r="D4" s="22">
        <v>3</v>
      </c>
      <c r="E4" s="22">
        <v>4</v>
      </c>
    </row>
    <row r="5" spans="1:6" x14ac:dyDescent="0.25">
      <c r="A5" s="23" t="s">
        <v>11</v>
      </c>
      <c r="B5" s="26">
        <v>1000000</v>
      </c>
      <c r="C5" s="26">
        <v>1100000</v>
      </c>
      <c r="D5" s="26">
        <f>C5*(1+DADOS!$B$9)</f>
        <v>1133000</v>
      </c>
      <c r="E5" s="26">
        <f>D5*(1+DADOS!$B$9)</f>
        <v>1166990</v>
      </c>
    </row>
    <row r="6" spans="1:6" x14ac:dyDescent="0.25">
      <c r="A6" s="23" t="s">
        <v>12</v>
      </c>
      <c r="B6" s="26">
        <v>150000</v>
      </c>
      <c r="C6" s="26">
        <v>160000</v>
      </c>
      <c r="D6" s="26">
        <f>C6*(1+DADOS!$B$9)</f>
        <v>164800</v>
      </c>
      <c r="E6" s="26">
        <f>D6*(1+DADOS!$B$9)</f>
        <v>169744</v>
      </c>
    </row>
    <row r="7" spans="1:6" x14ac:dyDescent="0.25">
      <c r="A7" s="23" t="s">
        <v>32</v>
      </c>
      <c r="B7" s="26">
        <f>400000+B6</f>
        <v>550000</v>
      </c>
      <c r="C7" s="26">
        <f>400000+C6</f>
        <v>560000</v>
      </c>
      <c r="D7" s="26">
        <f>C7*(1+DADOS!$B$9)</f>
        <v>576800</v>
      </c>
      <c r="E7" s="26">
        <f>D7*(1+DADOS!$B$9)</f>
        <v>594104</v>
      </c>
    </row>
    <row r="8" spans="1:6" x14ac:dyDescent="0.25">
      <c r="A8" s="23" t="s">
        <v>33</v>
      </c>
      <c r="B8" s="26">
        <v>200000</v>
      </c>
      <c r="C8" s="26">
        <v>180000</v>
      </c>
      <c r="D8" s="26">
        <f>C8*(1+DADOS!$B$9)</f>
        <v>185400</v>
      </c>
      <c r="E8" s="26">
        <f>D8*(1+DADOS!$B$9)</f>
        <v>190962</v>
      </c>
    </row>
    <row r="9" spans="1:6" x14ac:dyDescent="0.25">
      <c r="A9" s="23" t="s">
        <v>53</v>
      </c>
      <c r="B9" s="26">
        <f>B7+B8</f>
        <v>750000</v>
      </c>
      <c r="C9" s="26">
        <f t="shared" ref="C9:D9" si="0">C7+C8</f>
        <v>740000</v>
      </c>
      <c r="D9" s="26">
        <f t="shared" si="0"/>
        <v>762200</v>
      </c>
      <c r="E9" s="26">
        <f>E7+E8</f>
        <v>785066</v>
      </c>
      <c r="F9" t="s">
        <v>54</v>
      </c>
    </row>
    <row r="10" spans="1:6" x14ac:dyDescent="0.25">
      <c r="A10" s="23" t="s">
        <v>26</v>
      </c>
      <c r="B10" s="24">
        <f>B5/B9</f>
        <v>1.3333333333333333</v>
      </c>
      <c r="C10" s="24">
        <f t="shared" ref="C10:E10" si="1">C5/C9</f>
        <v>1.4864864864864864</v>
      </c>
      <c r="D10" s="24">
        <f t="shared" si="1"/>
        <v>1.4864864864864864</v>
      </c>
      <c r="E10" s="24">
        <f t="shared" si="1"/>
        <v>1.4864864864864864</v>
      </c>
    </row>
    <row r="11" spans="1:6" x14ac:dyDescent="0.25">
      <c r="A11" s="23" t="s">
        <v>29</v>
      </c>
      <c r="B11" s="25">
        <f>(B10-'Alínea a)'!$B$29)*B9</f>
        <v>916867.96632698271</v>
      </c>
      <c r="C11" s="25">
        <f>(C10-'Alínea a)'!$B$29)*C9</f>
        <v>1017976.3934426229</v>
      </c>
      <c r="D11" s="25">
        <f>(D10-'Alínea a)'!$B$29)*D9</f>
        <v>1048515.6852459015</v>
      </c>
      <c r="E11" s="25">
        <f>(E10-'Alínea a)'!$B$29)*E9</f>
        <v>1079971.1558032786</v>
      </c>
      <c r="F11" t="s">
        <v>55</v>
      </c>
    </row>
    <row r="12" spans="1:6" x14ac:dyDescent="0.25">
      <c r="A12" s="23" t="s">
        <v>15</v>
      </c>
      <c r="B12" s="25"/>
      <c r="C12" s="25"/>
      <c r="D12" s="25"/>
      <c r="E12" s="25">
        <f>E11*(1+DADOS!B9)/('Alínea a)'!B29-DADOS!B9)</f>
        <v>13759685.554293167</v>
      </c>
    </row>
    <row r="13" spans="1:6" x14ac:dyDescent="0.25">
      <c r="A13" s="23" t="s">
        <v>16</v>
      </c>
      <c r="B13" s="25">
        <f>1/(1+'Alínea a)'!$B$29)^B4</f>
        <v>0.90021745616176307</v>
      </c>
      <c r="C13" s="35">
        <f>1/(1+'Alínea a)'!$B$29)^C4</f>
        <v>0.81039146837835585</v>
      </c>
      <c r="D13" s="25">
        <f>1/(1+'Alínea a)'!$B$29)^D4</f>
        <v>0.72952854615875928</v>
      </c>
      <c r="E13" s="25">
        <f>1/(1+'Alínea a)'!$B$29)^E4</f>
        <v>0.65673433202042775</v>
      </c>
    </row>
    <row r="14" spans="1:6" x14ac:dyDescent="0.25">
      <c r="A14" s="23" t="s">
        <v>56</v>
      </c>
      <c r="B14" s="25">
        <f>B11*B13</f>
        <v>825380.54828308546</v>
      </c>
      <c r="C14" s="35">
        <f t="shared" ref="C14:D14" si="2">C11*C13</f>
        <v>824959.38425647002</v>
      </c>
      <c r="D14" s="25">
        <f t="shared" si="2"/>
        <v>764922.12348209776</v>
      </c>
      <c r="E14" s="25">
        <f>E11*E13</f>
        <v>709254.13560779544</v>
      </c>
    </row>
    <row r="15" spans="1:6" x14ac:dyDescent="0.25">
      <c r="A15" s="23" t="s">
        <v>17</v>
      </c>
      <c r="B15" s="25"/>
      <c r="C15" s="25"/>
      <c r="D15" s="25"/>
      <c r="E15" s="25">
        <f>E12*E13</f>
        <v>9036457.9013098516</v>
      </c>
    </row>
    <row r="16" spans="1:6" x14ac:dyDescent="0.25">
      <c r="A16" s="23" t="s">
        <v>31</v>
      </c>
      <c r="B16" s="25">
        <f>SUM(B14:E14)+E15</f>
        <v>12160974.0929393</v>
      </c>
      <c r="C16" s="25"/>
      <c r="D16" s="25"/>
      <c r="E16" s="25"/>
    </row>
    <row r="18" spans="1:2" x14ac:dyDescent="0.25">
      <c r="A18" s="17" t="s">
        <v>57</v>
      </c>
      <c r="B18" s="20"/>
    </row>
    <row r="19" spans="1:2" x14ac:dyDescent="0.25">
      <c r="A19" s="17" t="s">
        <v>58</v>
      </c>
    </row>
    <row r="20" spans="1:2" x14ac:dyDescent="0.25">
      <c r="A20" s="17" t="s">
        <v>59</v>
      </c>
    </row>
    <row r="21" spans="1:2" x14ac:dyDescent="0.25">
      <c r="A21" s="17" t="s">
        <v>60</v>
      </c>
      <c r="B21" s="19">
        <f>DADOS!C20+DADOS!C14</f>
        <v>6500000</v>
      </c>
    </row>
    <row r="22" spans="1:2" x14ac:dyDescent="0.25">
      <c r="A22" s="17" t="s">
        <v>31</v>
      </c>
      <c r="B22" s="19">
        <f>'Alínea a)'!B16-B21-DADOS!B12</f>
        <v>-1769796.5711538689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workbookViewId="0">
      <selection activeCell="B25" sqref="B25"/>
    </sheetView>
  </sheetViews>
  <sheetFormatPr defaultRowHeight="15" x14ac:dyDescent="0.25"/>
  <cols>
    <col min="1" max="1" width="50.140625" customWidth="1"/>
    <col min="2" max="2" width="22.140625" customWidth="1"/>
    <col min="3" max="3" width="16.85546875" customWidth="1"/>
    <col min="4" max="4" width="19.85546875" customWidth="1"/>
    <col min="5" max="5" width="26.140625" customWidth="1"/>
  </cols>
  <sheetData>
    <row r="2" spans="1:5" x14ac:dyDescent="0.25">
      <c r="A2" t="s">
        <v>23</v>
      </c>
    </row>
    <row r="3" spans="1:5" ht="15.75" thickBot="1" x14ac:dyDescent="0.3"/>
    <row r="4" spans="1:5" ht="16.5" thickTop="1" thickBot="1" x14ac:dyDescent="0.3">
      <c r="A4" s="2"/>
      <c r="B4" s="3">
        <v>1</v>
      </c>
      <c r="C4" s="3">
        <v>2</v>
      </c>
      <c r="D4" s="3">
        <v>3</v>
      </c>
      <c r="E4" s="3">
        <v>4</v>
      </c>
    </row>
    <row r="5" spans="1:5" ht="15.75" thickTop="1" x14ac:dyDescent="0.25">
      <c r="A5" s="1" t="s">
        <v>11</v>
      </c>
      <c r="B5" s="33">
        <v>1000000</v>
      </c>
      <c r="C5" s="33">
        <v>1100000</v>
      </c>
      <c r="D5" s="33">
        <f>C5*(1+DADOS!$B$9)</f>
        <v>1133000</v>
      </c>
      <c r="E5" s="33">
        <f>D5*(1+DADOS!$B$9)</f>
        <v>1166990</v>
      </c>
    </row>
    <row r="6" spans="1:5" x14ac:dyDescent="0.25">
      <c r="A6" s="1" t="s">
        <v>24</v>
      </c>
      <c r="B6" s="37">
        <v>0</v>
      </c>
      <c r="C6" s="33">
        <f>B9</f>
        <v>600000</v>
      </c>
      <c r="D6" s="33">
        <f t="shared" ref="D6:E6" si="0">C9</f>
        <v>1180000</v>
      </c>
      <c r="E6" s="33">
        <f t="shared" si="0"/>
        <v>1777400</v>
      </c>
    </row>
    <row r="7" spans="1:5" x14ac:dyDescent="0.25">
      <c r="A7" s="1" t="s">
        <v>13</v>
      </c>
      <c r="B7" s="33">
        <f>SUM('Alínea a)'!B7:B8)</f>
        <v>750000</v>
      </c>
      <c r="C7" s="33">
        <f>SUM('Alínea a)'!C7:C8)</f>
        <v>740000</v>
      </c>
      <c r="D7" s="33">
        <f>SUM('Alínea a)'!D7:D8)</f>
        <v>762200</v>
      </c>
      <c r="E7" s="33">
        <f>SUM('Alínea a)'!E7:E8)</f>
        <v>785066</v>
      </c>
    </row>
    <row r="8" spans="1:5" x14ac:dyDescent="0.25">
      <c r="A8" s="1" t="s">
        <v>12</v>
      </c>
      <c r="B8" s="33">
        <v>150000</v>
      </c>
      <c r="C8" s="33">
        <v>160000</v>
      </c>
      <c r="D8" s="33">
        <f>C8*(1+DADOS!$B$9)</f>
        <v>164800</v>
      </c>
      <c r="E8" s="33">
        <f>D8*(1+DADOS!$B$9)</f>
        <v>169744</v>
      </c>
    </row>
    <row r="9" spans="1:5" x14ac:dyDescent="0.25">
      <c r="A9" s="1" t="s">
        <v>25</v>
      </c>
      <c r="B9" s="33">
        <f>B6-(B8-B7)</f>
        <v>600000</v>
      </c>
      <c r="C9" s="33">
        <f t="shared" ref="C9:D9" si="1">C6-(C8-C7)</f>
        <v>1180000</v>
      </c>
      <c r="D9" s="33">
        <f t="shared" si="1"/>
        <v>1777400</v>
      </c>
      <c r="E9" s="33">
        <f>E6-(E8-E7)</f>
        <v>2392722</v>
      </c>
    </row>
    <row r="10" spans="1:5" x14ac:dyDescent="0.25">
      <c r="A10" s="1" t="s">
        <v>26</v>
      </c>
      <c r="B10" s="34" t="e">
        <f>B5/B6</f>
        <v>#DIV/0!</v>
      </c>
      <c r="C10" s="34">
        <f>C5/C6</f>
        <v>1.8333333333333333</v>
      </c>
      <c r="D10" s="34">
        <f t="shared" ref="D10" si="2">D5/D6</f>
        <v>0.96016949152542375</v>
      </c>
      <c r="E10" s="34">
        <f>E5/E6</f>
        <v>0.65657139642173967</v>
      </c>
    </row>
    <row r="11" spans="1:5" x14ac:dyDescent="0.25">
      <c r="A11" s="1" t="s">
        <v>27</v>
      </c>
      <c r="B11" s="34">
        <f>'Alínea a)'!$B$29</f>
        <v>0.11084271156402303</v>
      </c>
      <c r="C11" s="34">
        <f>'Alínea a)'!$B$29</f>
        <v>0.11084271156402303</v>
      </c>
      <c r="D11" s="34">
        <f>'Alínea a)'!$B$29</f>
        <v>0.11084271156402303</v>
      </c>
      <c r="E11" s="34">
        <f>'Alínea a)'!$B$29</f>
        <v>0.11084271156402303</v>
      </c>
    </row>
    <row r="12" spans="1:5" x14ac:dyDescent="0.25">
      <c r="A12" s="1" t="s">
        <v>28</v>
      </c>
      <c r="B12" s="36" t="e">
        <f>B10-B11</f>
        <v>#DIV/0!</v>
      </c>
      <c r="C12" s="36">
        <f t="shared" ref="C12:D12" si="3">C10-C11</f>
        <v>1.7224906217693103</v>
      </c>
      <c r="D12" s="36">
        <f t="shared" si="3"/>
        <v>0.84932677996140071</v>
      </c>
      <c r="E12" s="36">
        <f>E10-E11</f>
        <v>0.54572868485771664</v>
      </c>
    </row>
    <row r="13" spans="1:5" x14ac:dyDescent="0.25">
      <c r="A13" s="1" t="s">
        <v>29</v>
      </c>
      <c r="B13" s="33" t="e">
        <f>B12*B6</f>
        <v>#DIV/0!</v>
      </c>
      <c r="C13" s="33">
        <f t="shared" ref="C13:D13" si="4">C12*C6</f>
        <v>1033494.3730615862</v>
      </c>
      <c r="D13" s="33">
        <f t="shared" si="4"/>
        <v>1002205.6003544529</v>
      </c>
      <c r="E13" s="33">
        <f>E12*E6</f>
        <v>969978.16446610552</v>
      </c>
    </row>
    <row r="14" spans="1:5" x14ac:dyDescent="0.25">
      <c r="A14" s="1" t="s">
        <v>15</v>
      </c>
      <c r="B14" s="33"/>
      <c r="C14" s="33"/>
      <c r="D14" s="33"/>
      <c r="E14" s="33">
        <f>E13*(1+DADOS!$B$9)/('Alínea a)'!$B$29-DADOS!$B$9)</f>
        <v>12358287.96525304</v>
      </c>
    </row>
    <row r="15" spans="1:5" x14ac:dyDescent="0.25">
      <c r="A15" s="1" t="s">
        <v>16</v>
      </c>
      <c r="B15" s="33">
        <f>1/((1+'Alínea a)'!$B$29)^'Alínea c)'!B4)</f>
        <v>0.90021745616176307</v>
      </c>
      <c r="C15" s="33">
        <f>1/((1+'Alínea a)'!$B$29)^'Alínea c)'!C4)</f>
        <v>0.81039146837835585</v>
      </c>
      <c r="D15" s="33">
        <f>1/((1+'Alínea a)'!$B$29)^'Alínea c)'!D4)</f>
        <v>0.72952854615875928</v>
      </c>
      <c r="E15" s="33">
        <f>1/((1+'Alínea a)'!$B$29)^'Alínea c)'!E4)</f>
        <v>0.65673433202042775</v>
      </c>
    </row>
    <row r="16" spans="1:5" x14ac:dyDescent="0.25">
      <c r="A16" s="1" t="s">
        <v>30</v>
      </c>
      <c r="B16" s="33" t="e">
        <f>B13*B15</f>
        <v>#DIV/0!</v>
      </c>
      <c r="C16" s="33">
        <f t="shared" ref="C16:D16" si="5">C13*C15</f>
        <v>837535.02254614711</v>
      </c>
      <c r="D16" s="33">
        <f t="shared" si="5"/>
        <v>731137.59457875055</v>
      </c>
      <c r="E16" s="33">
        <f>E13*E15</f>
        <v>637017.96191504842</v>
      </c>
    </row>
    <row r="17" spans="1:5" x14ac:dyDescent="0.25">
      <c r="A17" s="1" t="s">
        <v>17</v>
      </c>
      <c r="B17" s="33"/>
      <c r="C17" s="33"/>
      <c r="D17" s="33"/>
      <c r="E17" s="33">
        <f>E14*E15</f>
        <v>8116111.9917765465</v>
      </c>
    </row>
    <row r="18" spans="1:5" x14ac:dyDescent="0.25">
      <c r="A18" s="1" t="s">
        <v>31</v>
      </c>
      <c r="B18" s="33" t="e">
        <f>SUM(B16:E16)+E17</f>
        <v>#DIV/0!</v>
      </c>
      <c r="C18" s="33"/>
      <c r="D18" s="33"/>
      <c r="E18" s="33"/>
    </row>
    <row r="19" spans="1:5" x14ac:dyDescent="0.25">
      <c r="A19" s="1" t="s">
        <v>24</v>
      </c>
      <c r="B19" s="33">
        <f>B6</f>
        <v>0</v>
      </c>
      <c r="C19" s="33"/>
      <c r="D19" s="33"/>
      <c r="E19" s="33"/>
    </row>
    <row r="20" spans="1:5" x14ac:dyDescent="0.25">
      <c r="A20" s="1" t="s">
        <v>18</v>
      </c>
      <c r="B20" s="33" t="e">
        <f>B18+B19</f>
        <v>#DIV/0!</v>
      </c>
      <c r="C20" s="33"/>
      <c r="D20" s="33"/>
      <c r="E20" s="33"/>
    </row>
    <row r="21" spans="1:5" x14ac:dyDescent="0.25">
      <c r="A21" s="1" t="s">
        <v>19</v>
      </c>
      <c r="B21" s="33">
        <f>DADOS!$B$12</f>
        <v>382500</v>
      </c>
      <c r="C21" s="33"/>
      <c r="D21" s="33"/>
      <c r="E21" s="33"/>
    </row>
    <row r="22" spans="1:5" x14ac:dyDescent="0.25">
      <c r="A22" s="1" t="s">
        <v>20</v>
      </c>
      <c r="B22" s="33" t="e">
        <f>B20+B21</f>
        <v>#DIV/0!</v>
      </c>
      <c r="C22" s="33"/>
      <c r="D22" s="33"/>
      <c r="E22" s="33"/>
    </row>
    <row r="23" spans="1:5" x14ac:dyDescent="0.25">
      <c r="A23" s="1" t="s">
        <v>21</v>
      </c>
      <c r="B23" s="33">
        <f>DADOS!$C$15</f>
        <v>1650000.0000000002</v>
      </c>
      <c r="C23" s="33"/>
      <c r="D23" s="33"/>
      <c r="E23" s="33"/>
    </row>
    <row r="24" spans="1:5" x14ac:dyDescent="0.25">
      <c r="A24" s="1" t="s">
        <v>22</v>
      </c>
      <c r="B24" s="33" t="e">
        <f>B22-B23</f>
        <v>#DIV/0!</v>
      </c>
      <c r="C24" s="33"/>
      <c r="D24" s="33"/>
      <c r="E24" s="3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DADOS</vt:lpstr>
      <vt:lpstr>Alínea a)</vt:lpstr>
      <vt:lpstr>Alínea b)</vt:lpstr>
      <vt:lpstr>Alínea c)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2013-12-03T21:18:54Z</dcterms:modified>
</cp:coreProperties>
</file>