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60" windowHeight="7485"/>
  </bookViews>
  <sheets>
    <sheet name="Folha1" sheetId="45" r:id="rId1"/>
  </sheets>
  <calcPr calcId="145621"/>
</workbook>
</file>

<file path=xl/calcChain.xml><?xml version="1.0" encoding="utf-8"?>
<calcChain xmlns="http://schemas.openxmlformats.org/spreadsheetml/2006/main">
  <c r="H17" i="45" l="1"/>
  <c r="C16" i="45"/>
  <c r="R99" i="45" l="1"/>
  <c r="Q99" i="45"/>
  <c r="P99" i="45"/>
  <c r="O99" i="45"/>
  <c r="N99" i="45"/>
  <c r="M99" i="45"/>
  <c r="L99" i="45"/>
  <c r="K99" i="45"/>
  <c r="J99" i="45"/>
  <c r="I99" i="45"/>
  <c r="H99" i="45"/>
  <c r="G99" i="45"/>
  <c r="F99" i="45"/>
  <c r="E99" i="45"/>
  <c r="D99" i="45"/>
  <c r="C99" i="45"/>
  <c r="C92" i="45"/>
  <c r="C91" i="45"/>
  <c r="A98" i="45"/>
  <c r="A99" i="45" s="1"/>
  <c r="A100" i="45" s="1"/>
  <c r="A101" i="45" s="1"/>
  <c r="A102" i="45" s="1"/>
  <c r="A103" i="45" s="1"/>
  <c r="C93" i="45" l="1"/>
  <c r="C94" i="45" s="1"/>
  <c r="C4" i="45" l="1"/>
  <c r="D13" i="45" s="1"/>
  <c r="D22" i="45" s="1"/>
  <c r="D23" i="45" s="1"/>
  <c r="A11" i="45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C3" i="45"/>
  <c r="S21" i="45" s="1"/>
  <c r="C57" i="45"/>
  <c r="D41" i="45"/>
  <c r="G42" i="45" s="1"/>
  <c r="C100" i="45"/>
  <c r="D98" i="45" s="1"/>
  <c r="D101" i="45" s="1"/>
  <c r="D104" i="45"/>
  <c r="E104" i="45"/>
  <c r="F104" i="45"/>
  <c r="H104" i="45"/>
  <c r="I104" i="45"/>
  <c r="J104" i="45"/>
  <c r="L104" i="45"/>
  <c r="M104" i="45"/>
  <c r="N104" i="45"/>
  <c r="P104" i="45"/>
  <c r="Q104" i="45"/>
  <c r="R104" i="45"/>
  <c r="A41" i="45"/>
  <c r="A42" i="45" s="1"/>
  <c r="A43" i="45" s="1"/>
  <c r="A44" i="45" s="1"/>
  <c r="A45" i="45" s="1"/>
  <c r="A46" i="45" s="1"/>
  <c r="A47" i="45" s="1"/>
  <c r="A48" i="45" s="1"/>
  <c r="A49" i="45" s="1"/>
  <c r="C46" i="45"/>
  <c r="G49" i="45" s="1"/>
  <c r="C63" i="45"/>
  <c r="D65" i="45" s="1"/>
  <c r="C31" i="45"/>
  <c r="G45" i="45" s="1"/>
  <c r="D62" i="45"/>
  <c r="E62" i="45" s="1"/>
  <c r="F62" i="45" s="1"/>
  <c r="A63" i="45"/>
  <c r="A64" i="45" s="1"/>
  <c r="A65" i="45" s="1"/>
  <c r="C35" i="45"/>
  <c r="C32" i="45" l="1"/>
  <c r="A66" i="45"/>
  <c r="A67" i="45" s="1"/>
  <c r="A68" i="45" s="1"/>
  <c r="A69" i="45" s="1"/>
  <c r="A70" i="45" s="1"/>
  <c r="A71" i="45" s="1"/>
  <c r="A72" i="45" s="1"/>
  <c r="A73" i="45" s="1"/>
  <c r="A74" i="45" s="1"/>
  <c r="A75" i="45" s="1"/>
  <c r="A76" i="45" s="1"/>
  <c r="A77" i="45" s="1"/>
  <c r="A78" i="45" s="1"/>
  <c r="A79" i="45" s="1"/>
  <c r="G20" i="45"/>
  <c r="O20" i="45"/>
  <c r="S20" i="45"/>
  <c r="D49" i="45"/>
  <c r="F49" i="45"/>
  <c r="C33" i="45"/>
  <c r="C44" i="45" s="1"/>
  <c r="D48" i="45" s="1"/>
  <c r="K20" i="45"/>
  <c r="F65" i="45"/>
  <c r="F70" i="45" s="1"/>
  <c r="G65" i="45"/>
  <c r="C68" i="45"/>
  <c r="C69" i="45" s="1"/>
  <c r="G77" i="45" s="1"/>
  <c r="C5" i="45"/>
  <c r="D70" i="45"/>
  <c r="D64" i="45"/>
  <c r="D67" i="45" s="1"/>
  <c r="D74" i="45" s="1"/>
  <c r="D75" i="45" s="1"/>
  <c r="D43" i="45"/>
  <c r="D47" i="45" s="1"/>
  <c r="C102" i="45"/>
  <c r="C104" i="45"/>
  <c r="G62" i="45"/>
  <c r="D100" i="45"/>
  <c r="E98" i="45" s="1"/>
  <c r="E101" i="45" s="1"/>
  <c r="O21" i="45"/>
  <c r="G21" i="45"/>
  <c r="K21" i="45"/>
  <c r="C15" i="45"/>
  <c r="C22" i="45" s="1"/>
  <c r="C23" i="45" s="1"/>
  <c r="E41" i="45"/>
  <c r="C34" i="45"/>
  <c r="E49" i="45"/>
  <c r="D12" i="45"/>
  <c r="E11" i="45" s="1"/>
  <c r="E65" i="45"/>
  <c r="E70" i="45" s="1"/>
  <c r="D50" i="45" l="1"/>
  <c r="D102" i="45"/>
  <c r="F77" i="45"/>
  <c r="E48" i="45"/>
  <c r="E77" i="45"/>
  <c r="C80" i="45"/>
  <c r="D77" i="45"/>
  <c r="C50" i="45"/>
  <c r="F48" i="45"/>
  <c r="G48" i="45"/>
  <c r="G70" i="45"/>
  <c r="D73" i="45"/>
  <c r="D78" i="45"/>
  <c r="D66" i="45"/>
  <c r="D71" i="45" s="1"/>
  <c r="E64" i="45"/>
  <c r="F41" i="45"/>
  <c r="E43" i="45"/>
  <c r="E13" i="45"/>
  <c r="E73" i="45" l="1"/>
  <c r="E67" i="45"/>
  <c r="E74" i="45" s="1"/>
  <c r="E75" i="45" s="1"/>
  <c r="D72" i="45"/>
  <c r="D79" i="45" s="1"/>
  <c r="D76" i="45"/>
  <c r="E66" i="45"/>
  <c r="E71" i="45" s="1"/>
  <c r="F64" i="45"/>
  <c r="E100" i="45"/>
  <c r="E12" i="45"/>
  <c r="F11" i="45" s="1"/>
  <c r="E47" i="45"/>
  <c r="E50" i="45" s="1"/>
  <c r="F43" i="45"/>
  <c r="G41" i="45"/>
  <c r="G43" i="45" s="1"/>
  <c r="E78" i="45" l="1"/>
  <c r="E76" i="45"/>
  <c r="D80" i="45"/>
  <c r="F66" i="45"/>
  <c r="F71" i="45" s="1"/>
  <c r="F72" i="45" s="1"/>
  <c r="F67" i="45"/>
  <c r="F74" i="45" s="1"/>
  <c r="F75" i="45" s="1"/>
  <c r="E22" i="45"/>
  <c r="E23" i="45" s="1"/>
  <c r="G64" i="45"/>
  <c r="E72" i="45"/>
  <c r="E79" i="45" s="1"/>
  <c r="F73" i="45"/>
  <c r="F13" i="45"/>
  <c r="F98" i="45"/>
  <c r="F101" i="45" s="1"/>
  <c r="E102" i="45"/>
  <c r="G47" i="45"/>
  <c r="G50" i="45" s="1"/>
  <c r="F47" i="45"/>
  <c r="F50" i="45" s="1"/>
  <c r="E80" i="45" l="1"/>
  <c r="F76" i="45"/>
  <c r="F78" i="45"/>
  <c r="G66" i="45"/>
  <c r="G71" i="45" s="1"/>
  <c r="G72" i="45" s="1"/>
  <c r="G67" i="45"/>
  <c r="G74" i="45" s="1"/>
  <c r="G75" i="45" s="1"/>
  <c r="F79" i="45"/>
  <c r="C52" i="45"/>
  <c r="G73" i="45"/>
  <c r="F12" i="45"/>
  <c r="G11" i="45" s="1"/>
  <c r="F80" i="45" l="1"/>
  <c r="G79" i="45"/>
  <c r="G78" i="45"/>
  <c r="G76" i="45"/>
  <c r="F22" i="45"/>
  <c r="F23" i="45" s="1"/>
  <c r="G13" i="45"/>
  <c r="F100" i="45"/>
  <c r="G80" i="45" l="1"/>
  <c r="C82" i="45" s="1"/>
  <c r="F102" i="45"/>
  <c r="G98" i="45"/>
  <c r="G101" i="45" s="1"/>
  <c r="G12" i="45"/>
  <c r="H11" i="45" s="1"/>
  <c r="G18" i="45"/>
  <c r="G19" i="45" l="1"/>
  <c r="G22" i="45" s="1"/>
  <c r="G23" i="45" s="1"/>
  <c r="C6" i="45"/>
  <c r="H13" i="45"/>
  <c r="I14" i="45" l="1"/>
  <c r="S14" i="45"/>
  <c r="H14" i="45"/>
  <c r="N14" i="45"/>
  <c r="R14" i="45"/>
  <c r="P14" i="45"/>
  <c r="K14" i="45"/>
  <c r="O14" i="45"/>
  <c r="J14" i="45"/>
  <c r="M14" i="45"/>
  <c r="Q14" i="45"/>
  <c r="L14" i="45"/>
  <c r="G100" i="45"/>
  <c r="G103" i="45"/>
  <c r="G104" i="45" s="1"/>
  <c r="H22" i="45" l="1"/>
  <c r="H23" i="45" s="1"/>
  <c r="H98" i="45"/>
  <c r="H101" i="45" s="1"/>
  <c r="G102" i="45"/>
  <c r="H12" i="45"/>
  <c r="I11" i="45" s="1"/>
  <c r="I13" i="45" l="1"/>
  <c r="H100" i="45" l="1"/>
  <c r="I17" i="45"/>
  <c r="I22" i="45" s="1"/>
  <c r="I23" i="45" s="1"/>
  <c r="I12" i="45"/>
  <c r="J11" i="45" s="1"/>
  <c r="H102" i="45" l="1"/>
  <c r="I98" i="45"/>
  <c r="I101" i="45" s="1"/>
  <c r="J13" i="45"/>
  <c r="J17" i="45" l="1"/>
  <c r="J22" i="45" s="1"/>
  <c r="J23" i="45" s="1"/>
  <c r="J12" i="45"/>
  <c r="K11" i="45" s="1"/>
  <c r="I100" i="45" l="1"/>
  <c r="K13" i="45"/>
  <c r="K17" i="45" l="1"/>
  <c r="K12" i="45"/>
  <c r="L11" i="45" s="1"/>
  <c r="K18" i="45"/>
  <c r="J98" i="45"/>
  <c r="J101" i="45" s="1"/>
  <c r="I102" i="45"/>
  <c r="L13" i="45" l="1"/>
  <c r="K19" i="45"/>
  <c r="K22" i="45" s="1"/>
  <c r="K23" i="45" s="1"/>
  <c r="J100" i="45" l="1"/>
  <c r="L17" i="45"/>
  <c r="L22" i="45" s="1"/>
  <c r="L23" i="45" s="1"/>
  <c r="L12" i="45"/>
  <c r="M11" i="45" s="1"/>
  <c r="M13" i="45" l="1"/>
  <c r="J102" i="45"/>
  <c r="K98" i="45"/>
  <c r="K101" i="45" s="1"/>
  <c r="M17" i="45" l="1"/>
  <c r="M22" i="45" s="1"/>
  <c r="M23" i="45" s="1"/>
  <c r="M12" i="45"/>
  <c r="N11" i="45" s="1"/>
  <c r="N13" i="45" l="1"/>
  <c r="K100" i="45"/>
  <c r="K103" i="45"/>
  <c r="K104" i="45" s="1"/>
  <c r="K102" i="45" l="1"/>
  <c r="L98" i="45"/>
  <c r="L101" i="45" s="1"/>
  <c r="N17" i="45"/>
  <c r="N22" i="45" s="1"/>
  <c r="N23" i="45" s="1"/>
  <c r="N12" i="45"/>
  <c r="O11" i="45" s="1"/>
  <c r="O13" i="45" l="1"/>
  <c r="L100" i="45" l="1"/>
  <c r="O17" i="45"/>
  <c r="O12" i="45"/>
  <c r="P11" i="45" s="1"/>
  <c r="O18" i="45"/>
  <c r="P13" i="45" l="1"/>
  <c r="O19" i="45"/>
  <c r="O22" i="45" s="1"/>
  <c r="O23" i="45" s="1"/>
  <c r="L102" i="45"/>
  <c r="M98" i="45"/>
  <c r="M101" i="45" s="1"/>
  <c r="P17" i="45" l="1"/>
  <c r="P22" i="45" s="1"/>
  <c r="P23" i="45" s="1"/>
  <c r="P12" i="45"/>
  <c r="Q11" i="45" s="1"/>
  <c r="Q13" i="45" l="1"/>
  <c r="M100" i="45"/>
  <c r="N98" i="45" l="1"/>
  <c r="N101" i="45" s="1"/>
  <c r="M102" i="45"/>
  <c r="Q17" i="45"/>
  <c r="Q22" i="45" s="1"/>
  <c r="Q23" i="45" s="1"/>
  <c r="Q12" i="45"/>
  <c r="R11" i="45" s="1"/>
  <c r="R13" i="45" l="1"/>
  <c r="N100" i="45" l="1"/>
  <c r="R17" i="45"/>
  <c r="R22" i="45" s="1"/>
  <c r="R23" i="45" s="1"/>
  <c r="R12" i="45"/>
  <c r="S11" i="45" s="1"/>
  <c r="S13" i="45" s="1"/>
  <c r="S18" i="45" s="1"/>
  <c r="S17" i="45" l="1"/>
  <c r="S12" i="45"/>
  <c r="O98" i="45"/>
  <c r="O101" i="45" s="1"/>
  <c r="N102" i="45"/>
  <c r="S19" i="45" l="1"/>
  <c r="S22" i="45" l="1"/>
  <c r="S23" i="45" s="1"/>
  <c r="D24" i="45" s="1"/>
  <c r="O100" i="45"/>
  <c r="O103" i="45"/>
  <c r="O104" i="45" s="1"/>
  <c r="C26" i="45" l="1"/>
  <c r="P98" i="45"/>
  <c r="P101" i="45" s="1"/>
  <c r="O102" i="45"/>
  <c r="P100" i="45" l="1"/>
  <c r="Q98" i="45" l="1"/>
  <c r="Q101" i="45" s="1"/>
  <c r="P102" i="45"/>
  <c r="Q100" i="45" l="1"/>
  <c r="Q102" i="45" l="1"/>
  <c r="R98" i="45"/>
  <c r="R101" i="45" s="1"/>
  <c r="R100" i="45" l="1"/>
  <c r="R102" i="45" s="1"/>
  <c r="S98" i="45" s="1"/>
  <c r="S101" i="45" s="1"/>
  <c r="S100" i="45" l="1"/>
  <c r="S102" i="45" s="1"/>
  <c r="S103" i="45"/>
  <c r="S104" i="45" s="1"/>
  <c r="C108" i="45" s="1"/>
  <c r="N105" i="45" l="1"/>
  <c r="E105" i="45"/>
  <c r="M105" i="45"/>
  <c r="I105" i="45"/>
  <c r="C105" i="45"/>
  <c r="L105" i="45"/>
  <c r="J105" i="45"/>
  <c r="D105" i="45"/>
  <c r="F105" i="45"/>
  <c r="R105" i="45"/>
  <c r="P105" i="45"/>
  <c r="H105" i="45"/>
  <c r="Q105" i="45"/>
  <c r="G105" i="45"/>
  <c r="K105" i="45"/>
  <c r="O105" i="45"/>
  <c r="S105" i="45"/>
  <c r="D106" i="45" l="1"/>
</calcChain>
</file>

<file path=xl/sharedStrings.xml><?xml version="1.0" encoding="utf-8"?>
<sst xmlns="http://schemas.openxmlformats.org/spreadsheetml/2006/main" count="112" uniqueCount="65">
  <si>
    <t>MAPA DO SERVIÇO DA DÍVIDA</t>
  </si>
  <si>
    <t>DESIGNAÇÃO</t>
  </si>
  <si>
    <t>Moeda</t>
  </si>
  <si>
    <t>USD</t>
  </si>
  <si>
    <t>Financiamento Obtido</t>
  </si>
  <si>
    <t>Amortização</t>
  </si>
  <si>
    <t>Juro</t>
  </si>
  <si>
    <t>EUR</t>
  </si>
  <si>
    <t>Imp.selo juros</t>
  </si>
  <si>
    <t>Diferenças cambiais</t>
  </si>
  <si>
    <t>CUSTO DO FINANCIAMENTO</t>
  </si>
  <si>
    <t>Prémio de Reembolso</t>
  </si>
  <si>
    <t>Ef.fiscal dos juros</t>
  </si>
  <si>
    <t>ISAC</t>
  </si>
  <si>
    <t>Ef.fiscal ISAC</t>
  </si>
  <si>
    <t>Ef.fiscal das despesas emissão</t>
  </si>
  <si>
    <t>Ef.fiscal juros e dif.cambiais</t>
  </si>
  <si>
    <t>Despesas de emissão</t>
  </si>
  <si>
    <t>Ef.fiscal do ISAC</t>
  </si>
  <si>
    <t>Valor de Emissão</t>
  </si>
  <si>
    <t>Despesas de Emissão</t>
  </si>
  <si>
    <t>Prémio de Emissão</t>
  </si>
  <si>
    <t>Valor de Reembolso</t>
  </si>
  <si>
    <t>Capital dívida inicial (Ak-1)</t>
  </si>
  <si>
    <t>Amortização Rk</t>
  </si>
  <si>
    <t>Juro Jk</t>
  </si>
  <si>
    <t>Capital dívida inicial Ak-1</t>
  </si>
  <si>
    <t>Taxa de câmbio TCk</t>
  </si>
  <si>
    <t>CASH FLOW (1-3-4-5-6+7+8+9)</t>
  </si>
  <si>
    <t>Taxa de Apreciação</t>
  </si>
  <si>
    <t>3) Empréstimo Bancário em Divisas</t>
  </si>
  <si>
    <t>Taxa de Juro</t>
  </si>
  <si>
    <t xml:space="preserve"> </t>
  </si>
  <si>
    <t>2) Empréstimo Obrigacionista</t>
  </si>
  <si>
    <t>Ef.fiscal dos Prémios Re. e Emissão</t>
  </si>
  <si>
    <t>Taxa de Cupão</t>
  </si>
  <si>
    <t>4) Leasing</t>
  </si>
  <si>
    <t xml:space="preserve">Valor aquisição </t>
  </si>
  <si>
    <t>Maturidade</t>
  </si>
  <si>
    <t>4 anos</t>
  </si>
  <si>
    <t>Tx de juro</t>
  </si>
  <si>
    <t>Valor residual</t>
  </si>
  <si>
    <t>Valor Aquisição</t>
  </si>
  <si>
    <t>Capital Divida inicial (Ak-1)</t>
  </si>
  <si>
    <t>Rendas (Tk)</t>
  </si>
  <si>
    <t>Amortização (Rk)</t>
  </si>
  <si>
    <t>Juro (Jk)</t>
  </si>
  <si>
    <t>Capital Divida final (Ak)</t>
  </si>
  <si>
    <t>Efeito fiscal juros (Jk*t)</t>
  </si>
  <si>
    <t>Prestação</t>
  </si>
  <si>
    <t>Comissão de Gestão</t>
  </si>
  <si>
    <t>Ef. Fiscal de Comissão de Gestão</t>
  </si>
  <si>
    <t>Taxa juro</t>
  </si>
  <si>
    <t>ani</t>
  </si>
  <si>
    <t>1) Empréstimo Bancário</t>
  </si>
  <si>
    <t>Imp. Selo Comissão</t>
  </si>
  <si>
    <t>CASH FLOW</t>
  </si>
  <si>
    <t>Ef.fiscal imp.selo Juros e Comissões</t>
  </si>
  <si>
    <t>CASH FLOW ATUALIZADO</t>
  </si>
  <si>
    <t>n</t>
  </si>
  <si>
    <t>i</t>
  </si>
  <si>
    <t>Comissão de Montagem e I. Selo</t>
  </si>
  <si>
    <t>Imp. Selo s/ juros</t>
  </si>
  <si>
    <t>Efeito Fiscal Imp. Selo s/Juros</t>
  </si>
  <si>
    <t>Ef. Fiscal da Comissão de Montagem e I.Selo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</si>
</sst>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 * #,##0.00_ ;_ * \-#,##0.00_ ;_ * &quot;-&quot;??_ ;_ @_ "/>
    <numFmt numFmtId="165" formatCode="_(* #,##0.00_);_(* \(#,##0.00\);_(* &quot;-&quot;??_);_(@_)"/>
    <numFmt numFmtId="166" formatCode="dd/mm/yy"/>
    <numFmt numFmtId="167" formatCode="0&quot; -&quot;"/>
    <numFmt numFmtId="168" formatCode="#,##0.000000"/>
    <numFmt numFmtId="169" formatCode="#,##0.000;&quot;-&quot;#,##0.000"/>
    <numFmt numFmtId="170" formatCode="0.00000%"/>
    <numFmt numFmtId="171" formatCode="0.000%"/>
    <numFmt numFmtId="172" formatCode="_ * #,##0_ ;_ * \-#,##0_ ;_ * &quot;-&quot;??_ ;_ @_ 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37" fontId="5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166" fontId="2" fillId="0" borderId="0" xfId="7" applyNumberFormat="1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166" fontId="8" fillId="0" borderId="0" xfId="7" applyNumberFormat="1" applyFont="1" applyFill="1" applyBorder="1" applyAlignment="1">
      <alignment vertical="center"/>
    </xf>
    <xf numFmtId="166" fontId="7" fillId="0" borderId="0" xfId="7" applyNumberFormat="1" applyFont="1" applyFill="1" applyBorder="1" applyAlignment="1">
      <alignment horizontal="right" vertical="center"/>
    </xf>
    <xf numFmtId="166" fontId="2" fillId="0" borderId="1" xfId="5" applyNumberFormat="1" applyFont="1" applyFill="1" applyBorder="1" applyAlignment="1">
      <alignment horizontal="left" vertical="center"/>
    </xf>
    <xf numFmtId="166" fontId="2" fillId="0" borderId="2" xfId="5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/>
    <xf numFmtId="0" fontId="6" fillId="0" borderId="0" xfId="7" applyFont="1" applyFill="1"/>
    <xf numFmtId="0" fontId="2" fillId="0" borderId="3" xfId="3" applyFont="1" applyFill="1" applyBorder="1"/>
    <xf numFmtId="3" fontId="2" fillId="0" borderId="4" xfId="2" applyNumberFormat="1" applyFont="1" applyFill="1" applyBorder="1"/>
    <xf numFmtId="0" fontId="2" fillId="0" borderId="0" xfId="3" applyFont="1" applyFill="1" applyBorder="1"/>
    <xf numFmtId="3" fontId="2" fillId="0" borderId="0" xfId="2" applyNumberFormat="1" applyFont="1" applyFill="1" applyBorder="1"/>
    <xf numFmtId="0" fontId="6" fillId="0" borderId="0" xfId="4" applyFont="1" applyFill="1" applyBorder="1" applyAlignment="1">
      <alignment horizontal="justify" vertical="center"/>
    </xf>
    <xf numFmtId="0" fontId="6" fillId="0" borderId="0" xfId="4" applyFont="1" applyFill="1" applyAlignment="1">
      <alignment horizontal="justify" vertical="center"/>
    </xf>
    <xf numFmtId="10" fontId="6" fillId="0" borderId="0" xfId="8" applyNumberFormat="1" applyFont="1" applyFill="1" applyAlignment="1">
      <alignment horizontal="justify" vertical="center"/>
    </xf>
    <xf numFmtId="37" fontId="6" fillId="0" borderId="0" xfId="6" applyFont="1" applyFill="1" applyAlignment="1">
      <alignment vertical="center"/>
    </xf>
    <xf numFmtId="166" fontId="8" fillId="0" borderId="0" xfId="7" applyNumberFormat="1" applyFont="1" applyFill="1" applyBorder="1" applyAlignment="1">
      <alignment horizontal="right" vertical="center"/>
    </xf>
    <xf numFmtId="166" fontId="2" fillId="0" borderId="5" xfId="5" applyNumberFormat="1" applyFont="1" applyFill="1" applyBorder="1" applyAlignment="1">
      <alignment horizontal="center" vertical="center" wrapText="1"/>
    </xf>
    <xf numFmtId="168" fontId="6" fillId="0" borderId="0" xfId="2" applyNumberFormat="1" applyFont="1" applyFill="1"/>
    <xf numFmtId="3" fontId="6" fillId="0" borderId="6" xfId="2" applyNumberFormat="1" applyFont="1" applyFill="1" applyBorder="1" applyAlignment="1">
      <alignment horizontal="center"/>
    </xf>
    <xf numFmtId="3" fontId="6" fillId="0" borderId="7" xfId="2" applyNumberFormat="1" applyFont="1" applyFill="1" applyBorder="1"/>
    <xf numFmtId="3" fontId="6" fillId="0" borderId="8" xfId="2" applyNumberFormat="1" applyFont="1" applyFill="1" applyBorder="1" applyAlignment="1">
      <alignment horizontal="center"/>
    </xf>
    <xf numFmtId="3" fontId="6" fillId="0" borderId="0" xfId="2" applyNumberFormat="1" applyFont="1" applyFill="1" applyBorder="1"/>
    <xf numFmtId="3" fontId="2" fillId="0" borderId="9" xfId="2" applyNumberFormat="1" applyFont="1" applyFill="1" applyBorder="1" applyAlignment="1">
      <alignment horizontal="center"/>
    </xf>
    <xf numFmtId="37" fontId="6" fillId="0" borderId="0" xfId="6" applyFont="1" applyFill="1" applyBorder="1" applyAlignment="1">
      <alignment vertical="center"/>
    </xf>
    <xf numFmtId="169" fontId="6" fillId="0" borderId="0" xfId="6" applyNumberFormat="1" applyFont="1" applyFill="1" applyAlignment="1">
      <alignment vertical="center"/>
    </xf>
    <xf numFmtId="166" fontId="2" fillId="0" borderId="0" xfId="5" applyNumberFormat="1" applyFont="1" applyFill="1" applyBorder="1" applyAlignment="1">
      <alignment horizontal="left" vertical="center"/>
    </xf>
    <xf numFmtId="166" fontId="2" fillId="0" borderId="0" xfId="5" applyNumberFormat="1" applyFont="1" applyFill="1" applyBorder="1" applyAlignment="1">
      <alignment horizontal="left" vertical="center" wrapText="1"/>
    </xf>
    <xf numFmtId="10" fontId="2" fillId="0" borderId="0" xfId="1" applyNumberFormat="1" applyFont="1" applyFill="1" applyBorder="1" applyAlignment="1">
      <alignment vertical="center" wrapText="1"/>
    </xf>
    <xf numFmtId="171" fontId="2" fillId="0" borderId="1" xfId="1" applyNumberFormat="1" applyFont="1" applyFill="1" applyBorder="1" applyAlignment="1">
      <alignment vertical="center" wrapText="1"/>
    </xf>
    <xf numFmtId="171" fontId="2" fillId="0" borderId="4" xfId="8" applyNumberFormat="1" applyFont="1" applyFill="1" applyBorder="1"/>
    <xf numFmtId="172" fontId="6" fillId="0" borderId="0" xfId="9" applyNumberFormat="1" applyFont="1" applyFill="1"/>
    <xf numFmtId="172" fontId="2" fillId="0" borderId="0" xfId="9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6" fillId="0" borderId="0" xfId="0" applyFont="1" applyFill="1"/>
    <xf numFmtId="167" fontId="2" fillId="0" borderId="0" xfId="3" applyNumberFormat="1" applyFont="1" applyFill="1" applyBorder="1" applyAlignment="1">
      <alignment horizontal="left"/>
    </xf>
    <xf numFmtId="0" fontId="2" fillId="0" borderId="10" xfId="3" applyFont="1" applyFill="1" applyBorder="1"/>
    <xf numFmtId="172" fontId="0" fillId="0" borderId="0" xfId="9" applyNumberFormat="1" applyFont="1" applyFill="1"/>
    <xf numFmtId="3" fontId="6" fillId="0" borderId="0" xfId="0" applyNumberFormat="1" applyFont="1" applyFill="1"/>
    <xf numFmtId="9" fontId="6" fillId="0" borderId="0" xfId="0" applyNumberFormat="1" applyFont="1" applyFill="1"/>
    <xf numFmtId="10" fontId="0" fillId="0" borderId="0" xfId="0" applyNumberFormat="1" applyFill="1"/>
    <xf numFmtId="167" fontId="2" fillId="0" borderId="7" xfId="3" applyNumberFormat="1" applyFont="1" applyFill="1" applyBorder="1" applyAlignment="1">
      <alignment horizontal="left"/>
    </xf>
    <xf numFmtId="167" fontId="2" fillId="0" borderId="11" xfId="3" applyNumberFormat="1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Fill="1"/>
    <xf numFmtId="0" fontId="2" fillId="0" borderId="12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10" fontId="0" fillId="0" borderId="0" xfId="8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170" fontId="6" fillId="0" borderId="0" xfId="8" applyNumberFormat="1" applyFont="1" applyFill="1" applyAlignment="1">
      <alignment vertical="center"/>
    </xf>
    <xf numFmtId="172" fontId="6" fillId="0" borderId="0" xfId="9" applyNumberFormat="1" applyFont="1" applyFill="1" applyAlignment="1">
      <alignment horizontal="right"/>
    </xf>
    <xf numFmtId="9" fontId="0" fillId="0" borderId="0" xfId="0" applyNumberFormat="1" applyFill="1" applyAlignment="1">
      <alignment horizontal="right" vertical="center"/>
    </xf>
    <xf numFmtId="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2" fontId="6" fillId="2" borderId="0" xfId="9" applyNumberFormat="1" applyFont="1" applyFill="1"/>
  </cellXfs>
  <cellStyles count="10">
    <cellStyle name="Comma" xfId="9" builtinId="3"/>
    <cellStyle name="Comma_Auxiliar" xfId="1"/>
    <cellStyle name="Comma_DecFin1" xfId="2"/>
    <cellStyle name="Normal" xfId="0" builtinId="0"/>
    <cellStyle name="Normal_ControloCobranças" xfId="3"/>
    <cellStyle name="Normal_DecFin1" xfId="4"/>
    <cellStyle name="Normal_Divisas" xfId="5"/>
    <cellStyle name="Normal_RAApifin2" xfId="6"/>
    <cellStyle name="Normal_XTrabalhoFinal2" xfId="7"/>
    <cellStyle name="Percent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tabSelected="1" zoomScale="115" zoomScaleNormal="115" workbookViewId="0">
      <selection activeCell="B19" sqref="B19"/>
    </sheetView>
  </sheetViews>
  <sheetFormatPr defaultRowHeight="12.75" x14ac:dyDescent="0.2"/>
  <cols>
    <col min="1" max="1" width="5.140625" style="37" customWidth="1"/>
    <col min="2" max="2" width="40.140625" style="37" bestFit="1" customWidth="1"/>
    <col min="3" max="19" width="9.28515625" style="37" customWidth="1"/>
    <col min="20" max="16384" width="9.140625" style="37"/>
  </cols>
  <sheetData>
    <row r="1" spans="1:19" s="36" customFormat="1" x14ac:dyDescent="0.2">
      <c r="A1" s="36" t="s">
        <v>54</v>
      </c>
    </row>
    <row r="3" spans="1:19" x14ac:dyDescent="0.2">
      <c r="B3" s="38" t="s">
        <v>13</v>
      </c>
      <c r="C3" s="34">
        <f>900000*0.005</f>
        <v>4500</v>
      </c>
      <c r="F3" s="38"/>
    </row>
    <row r="4" spans="1:19" x14ac:dyDescent="0.2">
      <c r="B4" s="38" t="s">
        <v>52</v>
      </c>
      <c r="C4" s="52">
        <f>6%/4</f>
        <v>1.4999999999999999E-2</v>
      </c>
      <c r="F4" s="38"/>
    </row>
    <row r="5" spans="1:19" x14ac:dyDescent="0.2">
      <c r="B5" s="38" t="s">
        <v>53</v>
      </c>
      <c r="C5" s="37">
        <f>(1-(1+C4)^(-12))/C4</f>
        <v>10.907505206973561</v>
      </c>
      <c r="F5" s="38"/>
    </row>
    <row r="6" spans="1:19" x14ac:dyDescent="0.2">
      <c r="B6" s="38" t="s">
        <v>49</v>
      </c>
      <c r="C6" s="34">
        <f>H11/C5</f>
        <v>87575.222513007728</v>
      </c>
      <c r="F6" s="38"/>
    </row>
    <row r="8" spans="1:19" ht="13.5" thickBot="1" x14ac:dyDescent="0.25">
      <c r="A8" s="1" t="s">
        <v>0</v>
      </c>
      <c r="B8" s="2"/>
      <c r="C8" s="1"/>
      <c r="D8" s="3"/>
      <c r="E8" s="4"/>
      <c r="F8" s="3"/>
    </row>
    <row r="9" spans="1:19" x14ac:dyDescent="0.2">
      <c r="A9" s="5" t="s">
        <v>1</v>
      </c>
      <c r="B9" s="6"/>
      <c r="C9" s="50">
        <v>0</v>
      </c>
      <c r="D9" s="50">
        <v>0.25</v>
      </c>
      <c r="E9" s="50">
        <v>0.5</v>
      </c>
      <c r="F9" s="50">
        <v>0.75</v>
      </c>
      <c r="G9" s="50">
        <v>1</v>
      </c>
      <c r="H9" s="50">
        <v>1.25</v>
      </c>
      <c r="I9" s="50">
        <v>1.5</v>
      </c>
      <c r="J9" s="50">
        <v>1.75</v>
      </c>
      <c r="K9" s="50">
        <v>2</v>
      </c>
      <c r="L9" s="50">
        <v>2.25</v>
      </c>
      <c r="M9" s="50">
        <v>2.5</v>
      </c>
      <c r="N9" s="50">
        <v>2.75</v>
      </c>
      <c r="O9" s="50">
        <v>3</v>
      </c>
      <c r="P9" s="50">
        <v>3.25</v>
      </c>
      <c r="Q9" s="50">
        <v>3.5</v>
      </c>
      <c r="R9" s="50">
        <v>3.75</v>
      </c>
      <c r="S9" s="50">
        <v>4</v>
      </c>
    </row>
    <row r="10" spans="1:19" x14ac:dyDescent="0.2">
      <c r="A10" s="39">
        <v>1</v>
      </c>
      <c r="B10" s="40" t="s">
        <v>4</v>
      </c>
      <c r="C10" s="34">
        <v>900000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x14ac:dyDescent="0.2">
      <c r="A11" s="39">
        <f>A10+1</f>
        <v>2</v>
      </c>
      <c r="B11" s="40" t="s">
        <v>23</v>
      </c>
      <c r="C11" s="34"/>
      <c r="D11" s="34">
        <v>900000</v>
      </c>
      <c r="E11" s="34">
        <f>D11-D12</f>
        <v>913500</v>
      </c>
      <c r="F11" s="34">
        <f>E11-E12</f>
        <v>927202.5</v>
      </c>
      <c r="G11" s="34">
        <f>F11-F12</f>
        <v>941110.53749999998</v>
      </c>
      <c r="H11" s="34">
        <f t="shared" ref="H11:S11" si="0">G11-G12</f>
        <v>955227.19556249992</v>
      </c>
      <c r="I11" s="34">
        <f t="shared" si="0"/>
        <v>881980.38098292972</v>
      </c>
      <c r="J11" s="34">
        <f t="shared" si="0"/>
        <v>807634.86418466596</v>
      </c>
      <c r="K11" s="34">
        <f t="shared" si="0"/>
        <v>732174.16463442822</v>
      </c>
      <c r="L11" s="34">
        <f t="shared" si="0"/>
        <v>655581.55459093687</v>
      </c>
      <c r="M11" s="34">
        <f t="shared" si="0"/>
        <v>577840.05539679318</v>
      </c>
      <c r="N11" s="34">
        <f t="shared" si="0"/>
        <v>498932.43371473736</v>
      </c>
      <c r="O11" s="34">
        <f t="shared" si="0"/>
        <v>418841.19770745072</v>
      </c>
      <c r="P11" s="34">
        <f t="shared" si="0"/>
        <v>337548.59316005476</v>
      </c>
      <c r="Q11" s="34">
        <f t="shared" si="0"/>
        <v>255036.59954444785</v>
      </c>
      <c r="R11" s="34">
        <f t="shared" si="0"/>
        <v>171286.92602460683</v>
      </c>
      <c r="S11" s="34">
        <f t="shared" si="0"/>
        <v>86281.007401968207</v>
      </c>
    </row>
    <row r="12" spans="1:19" x14ac:dyDescent="0.2">
      <c r="A12" s="39">
        <f t="shared" ref="A12:A21" si="1">A11+1</f>
        <v>3</v>
      </c>
      <c r="B12" s="40" t="s">
        <v>24</v>
      </c>
      <c r="C12" s="34"/>
      <c r="D12" s="34">
        <f>D14-D13</f>
        <v>-13500</v>
      </c>
      <c r="E12" s="34">
        <f>E14-E13</f>
        <v>-13702.5</v>
      </c>
      <c r="F12" s="34">
        <f t="shared" ref="F12:S12" si="2">F14-F13</f>
        <v>-13908.0375</v>
      </c>
      <c r="G12" s="34">
        <f t="shared" si="2"/>
        <v>-14116.658062499999</v>
      </c>
      <c r="H12" s="34">
        <f t="shared" si="2"/>
        <v>73246.814579570229</v>
      </c>
      <c r="I12" s="34">
        <f t="shared" si="2"/>
        <v>74345.516798263779</v>
      </c>
      <c r="J12" s="34">
        <f t="shared" si="2"/>
        <v>75460.699550237739</v>
      </c>
      <c r="K12" s="34">
        <f t="shared" si="2"/>
        <v>76592.61004349131</v>
      </c>
      <c r="L12" s="34">
        <f t="shared" si="2"/>
        <v>77741.499194143675</v>
      </c>
      <c r="M12" s="34">
        <f t="shared" si="2"/>
        <v>78907.621682055833</v>
      </c>
      <c r="N12" s="34">
        <f t="shared" si="2"/>
        <v>80091.236007286672</v>
      </c>
      <c r="O12" s="34">
        <f t="shared" si="2"/>
        <v>81292.604547395968</v>
      </c>
      <c r="P12" s="34">
        <f t="shared" si="2"/>
        <v>82511.993615606902</v>
      </c>
      <c r="Q12" s="34">
        <f t="shared" si="2"/>
        <v>83749.673519841017</v>
      </c>
      <c r="R12" s="34">
        <f t="shared" si="2"/>
        <v>85005.918622638623</v>
      </c>
      <c r="S12" s="34">
        <f t="shared" si="2"/>
        <v>86281.007401978204</v>
      </c>
    </row>
    <row r="13" spans="1:19" x14ac:dyDescent="0.2">
      <c r="A13" s="39">
        <f t="shared" si="1"/>
        <v>4</v>
      </c>
      <c r="B13" s="40" t="s">
        <v>25</v>
      </c>
      <c r="C13" s="34"/>
      <c r="D13" s="34">
        <f t="shared" ref="D13:S13" si="3">D11*$C4</f>
        <v>13500</v>
      </c>
      <c r="E13" s="34">
        <f t="shared" si="3"/>
        <v>13702.5</v>
      </c>
      <c r="F13" s="34">
        <f t="shared" si="3"/>
        <v>13908.0375</v>
      </c>
      <c r="G13" s="34">
        <f t="shared" si="3"/>
        <v>14116.658062499999</v>
      </c>
      <c r="H13" s="34">
        <f t="shared" si="3"/>
        <v>14328.407933437498</v>
      </c>
      <c r="I13" s="34">
        <f t="shared" si="3"/>
        <v>13229.705714743945</v>
      </c>
      <c r="J13" s="34">
        <f t="shared" si="3"/>
        <v>12114.522962769988</v>
      </c>
      <c r="K13" s="34">
        <f t="shared" si="3"/>
        <v>10982.612469516424</v>
      </c>
      <c r="L13" s="34">
        <f t="shared" si="3"/>
        <v>9833.723318864053</v>
      </c>
      <c r="M13" s="34">
        <f t="shared" si="3"/>
        <v>8667.6008309518966</v>
      </c>
      <c r="N13" s="34">
        <f t="shared" si="3"/>
        <v>7483.98650572106</v>
      </c>
      <c r="O13" s="34">
        <f t="shared" si="3"/>
        <v>6282.6179656117602</v>
      </c>
      <c r="P13" s="34">
        <f t="shared" si="3"/>
        <v>5063.2288974008216</v>
      </c>
      <c r="Q13" s="34">
        <f t="shared" si="3"/>
        <v>3825.5489931667175</v>
      </c>
      <c r="R13" s="34">
        <f t="shared" si="3"/>
        <v>2569.3038903691022</v>
      </c>
      <c r="S13" s="34">
        <f t="shared" si="3"/>
        <v>1294.2151110295231</v>
      </c>
    </row>
    <row r="14" spans="1:19" x14ac:dyDescent="0.2">
      <c r="A14" s="39">
        <f t="shared" si="1"/>
        <v>5</v>
      </c>
      <c r="B14" s="40" t="s">
        <v>49</v>
      </c>
      <c r="C14" s="34"/>
      <c r="D14" s="34"/>
      <c r="E14" s="34"/>
      <c r="F14" s="34"/>
      <c r="G14" s="34"/>
      <c r="H14" s="34">
        <f t="shared" ref="H14:S14" si="4">$C6</f>
        <v>87575.222513007728</v>
      </c>
      <c r="I14" s="34">
        <f t="shared" si="4"/>
        <v>87575.222513007728</v>
      </c>
      <c r="J14" s="34">
        <f t="shared" si="4"/>
        <v>87575.222513007728</v>
      </c>
      <c r="K14" s="34">
        <f t="shared" si="4"/>
        <v>87575.222513007728</v>
      </c>
      <c r="L14" s="34">
        <f t="shared" si="4"/>
        <v>87575.222513007728</v>
      </c>
      <c r="M14" s="34">
        <f t="shared" si="4"/>
        <v>87575.222513007728</v>
      </c>
      <c r="N14" s="34">
        <f t="shared" si="4"/>
        <v>87575.222513007728</v>
      </c>
      <c r="O14" s="34">
        <f t="shared" si="4"/>
        <v>87575.222513007728</v>
      </c>
      <c r="P14" s="34">
        <f t="shared" si="4"/>
        <v>87575.222513007728</v>
      </c>
      <c r="Q14" s="34">
        <f t="shared" si="4"/>
        <v>87575.222513007728</v>
      </c>
      <c r="R14" s="34">
        <f t="shared" si="4"/>
        <v>87575.222513007728</v>
      </c>
      <c r="S14" s="34">
        <f t="shared" si="4"/>
        <v>87575.222513007728</v>
      </c>
    </row>
    <row r="15" spans="1:19" x14ac:dyDescent="0.2">
      <c r="A15" s="39">
        <f t="shared" si="1"/>
        <v>6</v>
      </c>
      <c r="B15" s="40" t="s">
        <v>13</v>
      </c>
      <c r="C15" s="34">
        <f>C3</f>
        <v>4500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19" x14ac:dyDescent="0.2">
      <c r="A16" s="39">
        <f t="shared" si="1"/>
        <v>7</v>
      </c>
      <c r="B16" s="40" t="s">
        <v>61</v>
      </c>
      <c r="C16" s="60">
        <f>C10*0.4%*1.04</f>
        <v>3744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1:19" x14ac:dyDescent="0.2">
      <c r="A17" s="39">
        <f t="shared" si="1"/>
        <v>8</v>
      </c>
      <c r="B17" s="40" t="s">
        <v>62</v>
      </c>
      <c r="C17" s="34"/>
      <c r="D17" s="34"/>
      <c r="E17" s="34"/>
      <c r="F17" s="34"/>
      <c r="G17" s="34"/>
      <c r="H17" s="60">
        <f>0.04*(H13+SUM(D13:G13))</f>
        <v>2782.2241398374999</v>
      </c>
      <c r="I17" s="34">
        <f t="shared" ref="I17:S17" si="5">0.04*I13</f>
        <v>529.18822858975784</v>
      </c>
      <c r="J17" s="34">
        <f t="shared" si="5"/>
        <v>484.58091851079956</v>
      </c>
      <c r="K17" s="34">
        <f t="shared" si="5"/>
        <v>439.30449878065696</v>
      </c>
      <c r="L17" s="34">
        <f t="shared" si="5"/>
        <v>393.34893275456216</v>
      </c>
      <c r="M17" s="34">
        <f t="shared" si="5"/>
        <v>346.70403323807585</v>
      </c>
      <c r="N17" s="34">
        <f t="shared" si="5"/>
        <v>299.35946022884241</v>
      </c>
      <c r="O17" s="34">
        <f t="shared" si="5"/>
        <v>251.30471862447041</v>
      </c>
      <c r="P17" s="34">
        <f t="shared" si="5"/>
        <v>202.52915589603288</v>
      </c>
      <c r="Q17" s="34">
        <f t="shared" si="5"/>
        <v>153.02195972666871</v>
      </c>
      <c r="R17" s="34">
        <f t="shared" si="5"/>
        <v>102.77215561476409</v>
      </c>
      <c r="S17" s="34">
        <f t="shared" si="5"/>
        <v>51.768604441180926</v>
      </c>
    </row>
    <row r="18" spans="1:19" x14ac:dyDescent="0.2">
      <c r="A18" s="39">
        <f t="shared" si="1"/>
        <v>9</v>
      </c>
      <c r="B18" s="40" t="s">
        <v>12</v>
      </c>
      <c r="C18" s="34"/>
      <c r="D18" s="34"/>
      <c r="E18" s="34"/>
      <c r="F18" s="34"/>
      <c r="G18" s="34">
        <f>(D13+E13+F13+G13)*0.3</f>
        <v>16568.158668749998</v>
      </c>
      <c r="H18" s="41"/>
      <c r="I18" s="41"/>
      <c r="J18" s="41"/>
      <c r="K18" s="41">
        <f>(H13+I13+J13+K13)*0.3</f>
        <v>15196.574724140357</v>
      </c>
      <c r="L18" s="41"/>
      <c r="M18" s="41"/>
      <c r="N18" s="41"/>
      <c r="O18" s="41">
        <f>(L13+M13+N13+O13)*0.3</f>
        <v>9680.3785863446301</v>
      </c>
      <c r="P18" s="41"/>
      <c r="Q18" s="41"/>
      <c r="R18" s="41"/>
      <c r="S18" s="41">
        <f>(P13+Q13+R13+S13)*0.3</f>
        <v>3825.6890675898494</v>
      </c>
    </row>
    <row r="19" spans="1:19" x14ac:dyDescent="0.2">
      <c r="A19" s="39">
        <f t="shared" si="1"/>
        <v>10</v>
      </c>
      <c r="B19" s="40" t="s">
        <v>63</v>
      </c>
      <c r="C19" s="34"/>
      <c r="D19" s="34"/>
      <c r="E19" s="34"/>
      <c r="F19" s="34"/>
      <c r="G19" s="34">
        <f>(D17+E17+F17+G17)*0.3</f>
        <v>0</v>
      </c>
      <c r="H19" s="41"/>
      <c r="I19" s="41"/>
      <c r="J19" s="41"/>
      <c r="K19" s="41">
        <f>(H17+I17+J17+K17)*0.3</f>
        <v>1270.5893357156142</v>
      </c>
      <c r="L19" s="41"/>
      <c r="M19" s="41"/>
      <c r="N19" s="41"/>
      <c r="O19" s="41">
        <f>(L17+M17+N17+O17)*0.3</f>
        <v>387.21514345378523</v>
      </c>
      <c r="P19" s="41"/>
      <c r="Q19" s="41"/>
      <c r="R19" s="41"/>
      <c r="S19" s="41">
        <f>(P17+Q17+R17+S17)*0.3</f>
        <v>153.02756270359396</v>
      </c>
    </row>
    <row r="20" spans="1:19" x14ac:dyDescent="0.2">
      <c r="A20" s="39">
        <f t="shared" si="1"/>
        <v>11</v>
      </c>
      <c r="B20" s="40" t="s">
        <v>64</v>
      </c>
      <c r="C20" s="34"/>
      <c r="D20" s="34"/>
      <c r="E20" s="34"/>
      <c r="F20" s="34"/>
      <c r="G20" s="34">
        <f>$C$16/4*30%</f>
        <v>280.8</v>
      </c>
      <c r="H20" s="41"/>
      <c r="I20" s="41"/>
      <c r="J20" s="41"/>
      <c r="K20" s="34">
        <f>$C$16/4*30%</f>
        <v>280.8</v>
      </c>
      <c r="L20" s="41"/>
      <c r="M20" s="41"/>
      <c r="N20" s="41"/>
      <c r="O20" s="34">
        <f>$C$16/4*30%</f>
        <v>280.8</v>
      </c>
      <c r="P20" s="41"/>
      <c r="Q20" s="41"/>
      <c r="R20" s="41"/>
      <c r="S20" s="34">
        <f>$C$16/4*30%</f>
        <v>280.8</v>
      </c>
    </row>
    <row r="21" spans="1:19" x14ac:dyDescent="0.2">
      <c r="A21" s="39">
        <f t="shared" si="1"/>
        <v>12</v>
      </c>
      <c r="B21" s="40" t="s">
        <v>18</v>
      </c>
      <c r="C21" s="34"/>
      <c r="D21" s="34"/>
      <c r="E21" s="34"/>
      <c r="F21" s="34"/>
      <c r="G21" s="34">
        <f>C3/4*0.3</f>
        <v>337.5</v>
      </c>
      <c r="H21" s="41"/>
      <c r="I21" s="41"/>
      <c r="J21" s="41"/>
      <c r="K21" s="41">
        <f>C3/4*0.3</f>
        <v>337.5</v>
      </c>
      <c r="L21" s="41"/>
      <c r="M21" s="41"/>
      <c r="N21" s="41"/>
      <c r="O21" s="41">
        <f>C3/4*0.3</f>
        <v>337.5</v>
      </c>
      <c r="P21" s="41"/>
      <c r="Q21" s="41"/>
      <c r="R21" s="41"/>
      <c r="S21" s="41">
        <f>C3/4*0.3</f>
        <v>337.5</v>
      </c>
    </row>
    <row r="22" spans="1:19" ht="13.5" thickBot="1" x14ac:dyDescent="0.25">
      <c r="A22" s="11" t="s">
        <v>56</v>
      </c>
      <c r="B22" s="11"/>
      <c r="C22" s="12">
        <f>C10-C14-C15-C16-C17+C18+C19+C20+C21</f>
        <v>891756</v>
      </c>
      <c r="D22" s="12">
        <f t="shared" ref="D22:S22" si="6">D10-D14-D15-D16-D17+D18+D19+D20+D21</f>
        <v>0</v>
      </c>
      <c r="E22" s="12">
        <f t="shared" si="6"/>
        <v>0</v>
      </c>
      <c r="F22" s="12">
        <f t="shared" si="6"/>
        <v>0</v>
      </c>
      <c r="G22" s="12">
        <f t="shared" si="6"/>
        <v>17186.458668749998</v>
      </c>
      <c r="H22" s="12">
        <f t="shared" si="6"/>
        <v>-90357.446652845232</v>
      </c>
      <c r="I22" s="12">
        <f t="shared" si="6"/>
        <v>-88104.410741597487</v>
      </c>
      <c r="J22" s="12">
        <f t="shared" si="6"/>
        <v>-88059.803431518521</v>
      </c>
      <c r="K22" s="12">
        <f t="shared" si="6"/>
        <v>-70929.062951932399</v>
      </c>
      <c r="L22" s="12">
        <f t="shared" si="6"/>
        <v>-87968.571445762296</v>
      </c>
      <c r="M22" s="12">
        <f t="shared" si="6"/>
        <v>-87921.926546245799</v>
      </c>
      <c r="N22" s="12">
        <f t="shared" si="6"/>
        <v>-87874.581973236563</v>
      </c>
      <c r="O22" s="12">
        <f t="shared" si="6"/>
        <v>-77140.633501833785</v>
      </c>
      <c r="P22" s="12">
        <f t="shared" si="6"/>
        <v>-87777.751668903758</v>
      </c>
      <c r="Q22" s="12">
        <f t="shared" si="6"/>
        <v>-87728.244472734397</v>
      </c>
      <c r="R22" s="12">
        <f t="shared" si="6"/>
        <v>-87677.994668622487</v>
      </c>
      <c r="S22" s="12">
        <f t="shared" si="6"/>
        <v>-83029.974487155472</v>
      </c>
    </row>
    <row r="23" spans="1:19" ht="13.5" thickBot="1" x14ac:dyDescent="0.25">
      <c r="A23" s="11" t="s">
        <v>58</v>
      </c>
      <c r="B23" s="11"/>
      <c r="C23" s="12">
        <f>C22/(1+$C$24)^C9</f>
        <v>891756</v>
      </c>
      <c r="D23" s="12">
        <f t="shared" ref="D23:S23" si="7">D22/(1+$C$24)^D9</f>
        <v>0</v>
      </c>
      <c r="E23" s="12">
        <f t="shared" si="7"/>
        <v>0</v>
      </c>
      <c r="F23" s="12">
        <f t="shared" si="7"/>
        <v>0</v>
      </c>
      <c r="G23" s="12">
        <f t="shared" si="7"/>
        <v>16408.407795210867</v>
      </c>
      <c r="H23" s="12">
        <f t="shared" si="7"/>
        <v>-85273.483309657429</v>
      </c>
      <c r="I23" s="12">
        <f t="shared" si="7"/>
        <v>-82189.760579226771</v>
      </c>
      <c r="J23" s="12">
        <f t="shared" si="7"/>
        <v>-81202.198352491207</v>
      </c>
      <c r="K23" s="12">
        <f t="shared" si="7"/>
        <v>-64652.348953707813</v>
      </c>
      <c r="L23" s="12">
        <f t="shared" si="7"/>
        <v>-79260.651177752035</v>
      </c>
      <c r="M23" s="12">
        <f t="shared" si="7"/>
        <v>-78306.408058847912</v>
      </c>
      <c r="N23" s="12">
        <f t="shared" si="7"/>
        <v>-77363.015610358692</v>
      </c>
      <c r="O23" s="12">
        <f t="shared" si="7"/>
        <v>-67131.032985639831</v>
      </c>
      <c r="P23" s="12">
        <f t="shared" si="7"/>
        <v>-75508.282555152415</v>
      </c>
      <c r="Q23" s="12">
        <f t="shared" si="7"/>
        <v>-74596.695453400243</v>
      </c>
      <c r="R23" s="12">
        <f t="shared" si="7"/>
        <v>-73695.465998952175</v>
      </c>
      <c r="S23" s="12">
        <f t="shared" si="7"/>
        <v>-68985.064760022942</v>
      </c>
    </row>
    <row r="24" spans="1:19" ht="13.5" thickBot="1" x14ac:dyDescent="0.25">
      <c r="A24" s="11" t="s">
        <v>10</v>
      </c>
      <c r="B24" s="11"/>
      <c r="C24" s="33">
        <v>4.7417816722364892E-2</v>
      </c>
      <c r="D24" s="12">
        <f>SUM(C23:S23)</f>
        <v>1.2951204553246498E-9</v>
      </c>
      <c r="E24" s="14"/>
      <c r="F24" s="14"/>
      <c r="G24" s="10"/>
    </row>
    <row r="25" spans="1:19" x14ac:dyDescent="0.2">
      <c r="B25" s="5"/>
      <c r="C25" s="14"/>
      <c r="D25" s="14"/>
      <c r="E25" s="14"/>
      <c r="F25" s="14"/>
      <c r="G25" s="10"/>
    </row>
    <row r="26" spans="1:19" ht="13.5" thickBot="1" x14ac:dyDescent="0.25">
      <c r="A26" s="11" t="s">
        <v>10</v>
      </c>
      <c r="B26" s="11"/>
      <c r="C26" s="33">
        <f>((1+IRR(C22:S22))^4)-1</f>
        <v>4.7417816722364892E-2</v>
      </c>
      <c r="D26" s="12"/>
      <c r="E26" s="14"/>
      <c r="F26" s="10"/>
      <c r="G26" s="38"/>
    </row>
    <row r="27" spans="1:19" x14ac:dyDescent="0.2">
      <c r="A27" s="29"/>
      <c r="B27" s="30"/>
      <c r="C27" s="31"/>
      <c r="D27" s="14"/>
      <c r="E27" s="10"/>
      <c r="F27" s="38"/>
    </row>
    <row r="28" spans="1:19" x14ac:dyDescent="0.2">
      <c r="A28" s="29"/>
      <c r="B28" s="30"/>
      <c r="C28" s="31"/>
      <c r="D28" s="14"/>
      <c r="E28" s="10"/>
      <c r="F28" s="38"/>
    </row>
    <row r="29" spans="1:19" s="36" customFormat="1" x14ac:dyDescent="0.2">
      <c r="A29" s="36" t="s">
        <v>33</v>
      </c>
    </row>
    <row r="30" spans="1:19" x14ac:dyDescent="0.2">
      <c r="B30" s="38"/>
      <c r="C30" s="38"/>
      <c r="D30" s="38"/>
      <c r="E30" s="38"/>
      <c r="F30" s="38"/>
    </row>
    <row r="31" spans="1:19" x14ac:dyDescent="0.2">
      <c r="A31" s="38"/>
      <c r="B31" s="38" t="s">
        <v>19</v>
      </c>
      <c r="C31" s="42">
        <f>C40</f>
        <v>1000000</v>
      </c>
      <c r="D31" s="38"/>
      <c r="E31" s="38"/>
      <c r="F31" s="38"/>
    </row>
    <row r="32" spans="1:19" x14ac:dyDescent="0.2">
      <c r="A32" s="38"/>
      <c r="B32" s="38" t="s">
        <v>20</v>
      </c>
      <c r="C32" s="42">
        <f>C46</f>
        <v>30000</v>
      </c>
      <c r="D32" s="38"/>
      <c r="E32" s="38"/>
      <c r="F32" s="38"/>
    </row>
    <row r="33" spans="1:7" x14ac:dyDescent="0.2">
      <c r="A33" s="38"/>
      <c r="B33" s="38" t="s">
        <v>21</v>
      </c>
      <c r="C33" s="42">
        <f>0.1*C31</f>
        <v>100000</v>
      </c>
      <c r="D33" s="38"/>
    </row>
    <row r="34" spans="1:7" x14ac:dyDescent="0.2">
      <c r="A34" s="38"/>
      <c r="B34" s="38" t="s">
        <v>22</v>
      </c>
      <c r="C34" s="42">
        <f>C31*1.05</f>
        <v>1050000</v>
      </c>
      <c r="D34" s="38"/>
      <c r="E34" s="38"/>
      <c r="F34" s="38"/>
    </row>
    <row r="35" spans="1:7" x14ac:dyDescent="0.2">
      <c r="A35" s="38"/>
      <c r="B35" s="38" t="s">
        <v>11</v>
      </c>
      <c r="C35" s="42">
        <f>G45</f>
        <v>50000</v>
      </c>
      <c r="D35" s="38"/>
      <c r="E35" s="38"/>
      <c r="F35" s="38"/>
    </row>
    <row r="36" spans="1:7" x14ac:dyDescent="0.2">
      <c r="B36" s="54" t="s">
        <v>35</v>
      </c>
      <c r="C36" s="43">
        <v>0.03</v>
      </c>
      <c r="D36" s="38"/>
      <c r="E36" s="38"/>
      <c r="F36" s="38"/>
    </row>
    <row r="37" spans="1:7" x14ac:dyDescent="0.2">
      <c r="A37" s="38"/>
      <c r="B37" s="38"/>
      <c r="C37" s="38"/>
      <c r="D37" s="38"/>
      <c r="E37" s="38"/>
      <c r="F37" s="38"/>
    </row>
    <row r="38" spans="1:7" ht="13.5" thickBot="1" x14ac:dyDescent="0.25">
      <c r="A38" s="1" t="s">
        <v>0</v>
      </c>
      <c r="B38" s="2"/>
      <c r="C38" s="1"/>
      <c r="D38" s="3"/>
      <c r="E38" s="4"/>
      <c r="F38" s="3"/>
    </row>
    <row r="39" spans="1:7" x14ac:dyDescent="0.2">
      <c r="A39" s="5" t="s">
        <v>1</v>
      </c>
      <c r="B39" s="6"/>
      <c r="C39" s="7">
        <v>0</v>
      </c>
      <c r="D39" s="7">
        <v>1</v>
      </c>
      <c r="E39" s="8">
        <v>2</v>
      </c>
      <c r="F39" s="8">
        <v>3</v>
      </c>
      <c r="G39" s="8">
        <v>4</v>
      </c>
    </row>
    <row r="40" spans="1:7" x14ac:dyDescent="0.2">
      <c r="A40" s="39">
        <v>1</v>
      </c>
      <c r="B40" s="40" t="s">
        <v>4</v>
      </c>
      <c r="C40" s="9">
        <v>1000000</v>
      </c>
      <c r="D40" s="9"/>
      <c r="E40" s="9"/>
      <c r="F40" s="9"/>
      <c r="G40" s="9"/>
    </row>
    <row r="41" spans="1:7" x14ac:dyDescent="0.2">
      <c r="A41" s="39">
        <f>A40+1</f>
        <v>2</v>
      </c>
      <c r="B41" s="40" t="s">
        <v>26</v>
      </c>
      <c r="C41" s="9"/>
      <c r="D41" s="9">
        <f>C40</f>
        <v>1000000</v>
      </c>
      <c r="E41" s="9">
        <f>D41-D42</f>
        <v>1000000</v>
      </c>
      <c r="F41" s="9">
        <f>E41-E42</f>
        <v>1000000</v>
      </c>
      <c r="G41" s="9">
        <f>F41-F42</f>
        <v>1000000</v>
      </c>
    </row>
    <row r="42" spans="1:7" x14ac:dyDescent="0.2">
      <c r="A42" s="39">
        <f t="shared" ref="A42:A49" si="8">A41+1</f>
        <v>3</v>
      </c>
      <c r="B42" s="40" t="s">
        <v>24</v>
      </c>
      <c r="C42" s="9"/>
      <c r="D42" s="9"/>
      <c r="E42" s="9"/>
      <c r="F42" s="9"/>
      <c r="G42" s="9">
        <f>D41</f>
        <v>1000000</v>
      </c>
    </row>
    <row r="43" spans="1:7" x14ac:dyDescent="0.2">
      <c r="A43" s="39">
        <f t="shared" si="8"/>
        <v>4</v>
      </c>
      <c r="B43" s="40" t="s">
        <v>25</v>
      </c>
      <c r="C43" s="9"/>
      <c r="D43" s="9">
        <f>D41*$C36</f>
        <v>30000</v>
      </c>
      <c r="E43" s="9">
        <f>E41*$C36</f>
        <v>30000</v>
      </c>
      <c r="F43" s="9">
        <f>F41*$C36</f>
        <v>30000</v>
      </c>
      <c r="G43" s="9">
        <f>G41*$C36</f>
        <v>30000</v>
      </c>
    </row>
    <row r="44" spans="1:7" x14ac:dyDescent="0.2">
      <c r="A44" s="39">
        <f t="shared" si="8"/>
        <v>5</v>
      </c>
      <c r="B44" s="40" t="s">
        <v>21</v>
      </c>
      <c r="C44" s="9">
        <f>C33</f>
        <v>100000</v>
      </c>
      <c r="D44" s="9"/>
      <c r="E44" s="9"/>
      <c r="F44" s="9"/>
      <c r="G44" s="9"/>
    </row>
    <row r="45" spans="1:7" x14ac:dyDescent="0.2">
      <c r="A45" s="39">
        <f t="shared" si="8"/>
        <v>6</v>
      </c>
      <c r="B45" s="40" t="s">
        <v>11</v>
      </c>
      <c r="C45" s="9"/>
      <c r="D45" s="9"/>
      <c r="E45" s="9"/>
      <c r="F45" s="9"/>
      <c r="G45" s="9">
        <f>C31*0.05</f>
        <v>50000</v>
      </c>
    </row>
    <row r="46" spans="1:7" x14ac:dyDescent="0.2">
      <c r="A46" s="39">
        <f t="shared" si="8"/>
        <v>7</v>
      </c>
      <c r="B46" s="40" t="s">
        <v>17</v>
      </c>
      <c r="C46" s="9">
        <f>30000</f>
        <v>30000</v>
      </c>
      <c r="D46" s="9"/>
      <c r="E46" s="9"/>
      <c r="F46" s="9"/>
      <c r="G46" s="9"/>
    </row>
    <row r="47" spans="1:7" x14ac:dyDescent="0.2">
      <c r="A47" s="39">
        <f t="shared" si="8"/>
        <v>8</v>
      </c>
      <c r="B47" s="40" t="s">
        <v>12</v>
      </c>
      <c r="C47" s="9"/>
      <c r="D47" s="9">
        <f>(D43)*0.3</f>
        <v>9000</v>
      </c>
      <c r="E47" s="9">
        <f>(E43)*0.3</f>
        <v>9000</v>
      </c>
      <c r="F47" s="9">
        <f>(F43)*0.3</f>
        <v>9000</v>
      </c>
      <c r="G47" s="9">
        <f>(G43)*0.3</f>
        <v>9000</v>
      </c>
    </row>
    <row r="48" spans="1:7" x14ac:dyDescent="0.2">
      <c r="A48" s="39">
        <f t="shared" si="8"/>
        <v>9</v>
      </c>
      <c r="B48" s="40" t="s">
        <v>34</v>
      </c>
      <c r="C48" s="9"/>
      <c r="D48" s="9">
        <f>($G45+$C44)*0.3/4</f>
        <v>11250</v>
      </c>
      <c r="E48" s="9">
        <f>($G45+$C44)*0.3/4</f>
        <v>11250</v>
      </c>
      <c r="F48" s="9">
        <f>($G45+$C44)*0.3/4</f>
        <v>11250</v>
      </c>
      <c r="G48" s="9">
        <f>($G45+$C44)*0.3/4</f>
        <v>11250</v>
      </c>
    </row>
    <row r="49" spans="1:9" x14ac:dyDescent="0.2">
      <c r="A49" s="39">
        <f t="shared" si="8"/>
        <v>10</v>
      </c>
      <c r="B49" s="40" t="s">
        <v>15</v>
      </c>
      <c r="C49" s="9"/>
      <c r="D49" s="9">
        <f>$C$46/4*0.3</f>
        <v>2250</v>
      </c>
      <c r="E49" s="9">
        <f>$C$46/4*0.3</f>
        <v>2250</v>
      </c>
      <c r="F49" s="9">
        <f>$C$46/4*0.3</f>
        <v>2250</v>
      </c>
      <c r="G49" s="9">
        <f>$C$46/4*0.3</f>
        <v>2250</v>
      </c>
    </row>
    <row r="50" spans="1:9" ht="13.5" thickBot="1" x14ac:dyDescent="0.25">
      <c r="A50" s="11" t="s">
        <v>28</v>
      </c>
      <c r="B50" s="11"/>
      <c r="C50" s="12">
        <f>C40-C43-C42-C45-C44-C46+C47+C48+C49</f>
        <v>870000</v>
      </c>
      <c r="D50" s="12">
        <f>D40-D43-D42-D45-D44-D46+D47+D48+D49</f>
        <v>-7500</v>
      </c>
      <c r="E50" s="12">
        <f>E40-E43-E42-E45-E44-E46+E47+E48+E49</f>
        <v>-7500</v>
      </c>
      <c r="F50" s="12">
        <f>F40-F43-F42-F45-F44-F46+F47+F48+F49</f>
        <v>-7500</v>
      </c>
      <c r="G50" s="12">
        <f>G40-G43-G42-G45-G44-G46+G47+G48+G49</f>
        <v>-1057500</v>
      </c>
    </row>
    <row r="51" spans="1:9" ht="13.5" thickBot="1" x14ac:dyDescent="0.25">
      <c r="A51" s="13"/>
      <c r="B51" s="13"/>
      <c r="C51" s="14"/>
      <c r="D51" s="14"/>
      <c r="E51" s="14"/>
      <c r="F51" s="10"/>
    </row>
    <row r="52" spans="1:9" x14ac:dyDescent="0.2">
      <c r="A52" s="5" t="s">
        <v>10</v>
      </c>
      <c r="B52" s="6"/>
      <c r="C52" s="32">
        <f>IRR(C50:G50)</f>
        <v>5.618411409304902E-2</v>
      </c>
      <c r="D52" s="14"/>
      <c r="E52" s="10"/>
      <c r="F52" s="38"/>
    </row>
    <row r="53" spans="1:9" x14ac:dyDescent="0.2">
      <c r="A53" s="29"/>
      <c r="B53" s="30"/>
      <c r="C53" s="31"/>
      <c r="D53" s="14"/>
      <c r="E53" s="10"/>
      <c r="F53" s="38"/>
    </row>
    <row r="54" spans="1:9" x14ac:dyDescent="0.2">
      <c r="A54" s="29"/>
      <c r="B54" s="30"/>
      <c r="C54" s="31"/>
      <c r="D54" s="14"/>
      <c r="E54" s="10"/>
      <c r="F54" s="38"/>
    </row>
    <row r="55" spans="1:9" s="36" customFormat="1" x14ac:dyDescent="0.2">
      <c r="A55" s="36" t="s">
        <v>30</v>
      </c>
    </row>
    <row r="56" spans="1:9" x14ac:dyDescent="0.2">
      <c r="A56" s="15"/>
      <c r="B56" s="16"/>
      <c r="C56" s="38"/>
      <c r="D56" s="17"/>
      <c r="F56" s="55"/>
    </row>
    <row r="57" spans="1:9" x14ac:dyDescent="0.2">
      <c r="A57" s="38"/>
      <c r="B57" s="55" t="s">
        <v>31</v>
      </c>
      <c r="C57" s="44">
        <f>7%</f>
        <v>7.0000000000000007E-2</v>
      </c>
      <c r="D57" s="38"/>
      <c r="F57" s="54"/>
    </row>
    <row r="58" spans="1:9" x14ac:dyDescent="0.2">
      <c r="A58" s="38"/>
      <c r="B58" s="54" t="s">
        <v>29</v>
      </c>
      <c r="C58" s="44">
        <v>8.3000000000000001E-3</v>
      </c>
      <c r="D58" s="38"/>
      <c r="E58" s="53"/>
      <c r="F58" s="53"/>
      <c r="G58" s="44"/>
    </row>
    <row r="59" spans="1:9" x14ac:dyDescent="0.2">
      <c r="A59" s="38"/>
      <c r="B59" s="54"/>
      <c r="C59" s="38"/>
      <c r="D59" s="38"/>
      <c r="E59" s="53"/>
      <c r="F59" s="53"/>
      <c r="G59" s="44"/>
    </row>
    <row r="60" spans="1:9" ht="13.5" thickBot="1" x14ac:dyDescent="0.25">
      <c r="A60" s="1" t="s">
        <v>0</v>
      </c>
      <c r="B60" s="2"/>
      <c r="C60" s="3"/>
      <c r="D60" s="4"/>
      <c r="E60" s="19" t="s">
        <v>29</v>
      </c>
      <c r="F60" s="38"/>
    </row>
    <row r="61" spans="1:9" x14ac:dyDescent="0.2">
      <c r="A61" s="5" t="s">
        <v>1</v>
      </c>
      <c r="B61" s="6"/>
      <c r="C61" s="7">
        <v>0</v>
      </c>
      <c r="D61" s="7">
        <v>1</v>
      </c>
      <c r="E61" s="7">
        <v>2</v>
      </c>
      <c r="F61" s="7">
        <v>3</v>
      </c>
      <c r="G61" s="7">
        <v>4</v>
      </c>
      <c r="H61" s="20" t="s">
        <v>2</v>
      </c>
      <c r="I61" s="38"/>
    </row>
    <row r="62" spans="1:9" x14ac:dyDescent="0.2">
      <c r="A62" s="39">
        <v>0</v>
      </c>
      <c r="B62" s="40" t="s">
        <v>27</v>
      </c>
      <c r="C62" s="21">
        <v>1.2</v>
      </c>
      <c r="D62" s="21">
        <f>(C62*(1+$C$58))</f>
        <v>1.2099599999999999</v>
      </c>
      <c r="E62" s="21">
        <f>(D62*(1+$C$58))</f>
        <v>1.2200026679999998</v>
      </c>
      <c r="F62" s="21">
        <f>(E62*(1+$C$58))</f>
        <v>1.2301286901443997</v>
      </c>
      <c r="G62" s="21">
        <f>(F62*(1+$C$58))</f>
        <v>1.2403387582725982</v>
      </c>
      <c r="H62" s="22" t="s">
        <v>3</v>
      </c>
      <c r="I62" s="38"/>
    </row>
    <row r="63" spans="1:9" x14ac:dyDescent="0.2">
      <c r="A63" s="39">
        <f t="shared" ref="A63:A79" si="9">A62+1</f>
        <v>1</v>
      </c>
      <c r="B63" s="40" t="s">
        <v>4</v>
      </c>
      <c r="C63" s="9">
        <f>1080000</f>
        <v>1080000</v>
      </c>
      <c r="D63" s="9"/>
      <c r="E63" s="9"/>
      <c r="F63" s="9"/>
      <c r="G63" s="38"/>
      <c r="H63" s="22" t="s">
        <v>3</v>
      </c>
      <c r="I63" s="38"/>
    </row>
    <row r="64" spans="1:9" x14ac:dyDescent="0.2">
      <c r="A64" s="39">
        <f t="shared" si="9"/>
        <v>2</v>
      </c>
      <c r="B64" s="40" t="s">
        <v>26</v>
      </c>
      <c r="C64" s="9"/>
      <c r="D64" s="9">
        <f>C63</f>
        <v>1080000</v>
      </c>
      <c r="E64" s="9">
        <f>D64-D65</f>
        <v>810000</v>
      </c>
      <c r="F64" s="9">
        <f>E64-E65</f>
        <v>540000</v>
      </c>
      <c r="G64" s="9">
        <f>F64-F65</f>
        <v>270000</v>
      </c>
      <c r="H64" s="22" t="s">
        <v>3</v>
      </c>
      <c r="I64" s="38"/>
    </row>
    <row r="65" spans="1:9" x14ac:dyDescent="0.2">
      <c r="A65" s="39">
        <f t="shared" si="9"/>
        <v>3</v>
      </c>
      <c r="B65" s="40" t="s">
        <v>24</v>
      </c>
      <c r="C65" s="9"/>
      <c r="D65" s="9">
        <f>$C$63*0.25</f>
        <v>270000</v>
      </c>
      <c r="E65" s="9">
        <f>$C$63*0.25</f>
        <v>270000</v>
      </c>
      <c r="F65" s="9">
        <f>$C$63*0.25</f>
        <v>270000</v>
      </c>
      <c r="G65" s="9">
        <f>$C$63*0.25</f>
        <v>270000</v>
      </c>
      <c r="H65" s="22" t="s">
        <v>3</v>
      </c>
      <c r="I65" s="38"/>
    </row>
    <row r="66" spans="1:9" x14ac:dyDescent="0.2">
      <c r="A66" s="39">
        <f t="shared" si="9"/>
        <v>4</v>
      </c>
      <c r="B66" s="40" t="s">
        <v>25</v>
      </c>
      <c r="C66" s="9"/>
      <c r="D66" s="9">
        <f>D64*($C57)</f>
        <v>75600</v>
      </c>
      <c r="E66" s="9">
        <f>E64*($C57)</f>
        <v>56700.000000000007</v>
      </c>
      <c r="F66" s="9">
        <f>F64*($C57)</f>
        <v>37800</v>
      </c>
      <c r="G66" s="9">
        <f>G64*($C57)</f>
        <v>18900</v>
      </c>
      <c r="H66" s="22" t="s">
        <v>3</v>
      </c>
      <c r="I66" s="38"/>
    </row>
    <row r="67" spans="1:9" x14ac:dyDescent="0.2">
      <c r="A67" s="39">
        <f t="shared" si="9"/>
        <v>5</v>
      </c>
      <c r="B67" s="40" t="s">
        <v>50</v>
      </c>
      <c r="C67" s="9"/>
      <c r="D67" s="9">
        <f>D64*0.5%</f>
        <v>5400</v>
      </c>
      <c r="E67" s="9">
        <f>E64*0.5%</f>
        <v>4050</v>
      </c>
      <c r="F67" s="9">
        <f>F64*0.5%</f>
        <v>2700</v>
      </c>
      <c r="G67" s="9">
        <f>G64*0.5%</f>
        <v>1350</v>
      </c>
      <c r="H67" s="22" t="s">
        <v>3</v>
      </c>
      <c r="I67" s="38"/>
    </row>
    <row r="68" spans="1:9" x14ac:dyDescent="0.2">
      <c r="A68" s="45">
        <f t="shared" si="9"/>
        <v>6</v>
      </c>
      <c r="B68" s="46" t="s">
        <v>4</v>
      </c>
      <c r="C68" s="23">
        <f>C63/C62</f>
        <v>900000</v>
      </c>
      <c r="D68" s="23"/>
      <c r="E68" s="23"/>
      <c r="F68" s="23"/>
      <c r="G68" s="23"/>
      <c r="H68" s="24" t="s">
        <v>7</v>
      </c>
      <c r="I68" s="38"/>
    </row>
    <row r="69" spans="1:9" x14ac:dyDescent="0.2">
      <c r="A69" s="39">
        <f t="shared" si="9"/>
        <v>7</v>
      </c>
      <c r="B69" s="40" t="s">
        <v>13</v>
      </c>
      <c r="C69" s="9">
        <f>0.5%*C68</f>
        <v>4500</v>
      </c>
      <c r="D69" s="25"/>
      <c r="E69" s="25"/>
      <c r="F69" s="25"/>
      <c r="G69" s="25"/>
      <c r="H69" s="24" t="s">
        <v>7</v>
      </c>
      <c r="I69" s="38"/>
    </row>
    <row r="70" spans="1:9" x14ac:dyDescent="0.2">
      <c r="A70" s="39">
        <f t="shared" si="9"/>
        <v>8</v>
      </c>
      <c r="B70" s="40" t="s">
        <v>5</v>
      </c>
      <c r="C70" s="9"/>
      <c r="D70" s="9">
        <f>D65/D62</f>
        <v>223147.87265694735</v>
      </c>
      <c r="E70" s="9">
        <f>E65/E62</f>
        <v>221310.99142809419</v>
      </c>
      <c r="F70" s="9">
        <f>F65/F62</f>
        <v>219489.23081235169</v>
      </c>
      <c r="G70" s="9">
        <f>G65/G62</f>
        <v>217682.46634171545</v>
      </c>
      <c r="H70" s="22" t="s">
        <v>7</v>
      </c>
      <c r="I70" s="38"/>
    </row>
    <row r="71" spans="1:9" x14ac:dyDescent="0.2">
      <c r="A71" s="39">
        <f t="shared" si="9"/>
        <v>9</v>
      </c>
      <c r="B71" s="40" t="s">
        <v>6</v>
      </c>
      <c r="C71" s="9"/>
      <c r="D71" s="9">
        <f>+D66/D62</f>
        <v>62481.404343945258</v>
      </c>
      <c r="E71" s="9">
        <f>+E66/E62</f>
        <v>46475.308199899788</v>
      </c>
      <c r="F71" s="9">
        <f>+F66/F62</f>
        <v>30728.492313729235</v>
      </c>
      <c r="G71" s="9">
        <f>+G66/G62</f>
        <v>15237.772643920081</v>
      </c>
      <c r="H71" s="22" t="s">
        <v>7</v>
      </c>
      <c r="I71" s="38"/>
    </row>
    <row r="72" spans="1:9" x14ac:dyDescent="0.2">
      <c r="A72" s="39">
        <f t="shared" si="9"/>
        <v>10</v>
      </c>
      <c r="B72" s="40" t="s">
        <v>8</v>
      </c>
      <c r="C72" s="9"/>
      <c r="D72" s="9">
        <f>0.04*D71</f>
        <v>2499.2561737578103</v>
      </c>
      <c r="E72" s="9">
        <f>0.04*E71</f>
        <v>1859.0123279959917</v>
      </c>
      <c r="F72" s="9">
        <f>0.04*F71</f>
        <v>1229.1396925491695</v>
      </c>
      <c r="G72" s="9">
        <f>0.04*G71</f>
        <v>609.51090575680325</v>
      </c>
      <c r="H72" s="22" t="s">
        <v>7</v>
      </c>
      <c r="I72" s="38"/>
    </row>
    <row r="73" spans="1:9" x14ac:dyDescent="0.2">
      <c r="A73" s="39">
        <f t="shared" si="9"/>
        <v>11</v>
      </c>
      <c r="B73" s="40" t="s">
        <v>9</v>
      </c>
      <c r="C73" s="9"/>
      <c r="D73" s="9">
        <f>D64/D62-D64/C62</f>
        <v>-7408.5093722105958</v>
      </c>
      <c r="E73" s="9">
        <f>(E64/E62)-(E64/D62)</f>
        <v>-5510.6436865595169</v>
      </c>
      <c r="F73" s="9">
        <f>F64/F62-F64/E62</f>
        <v>-3643.5212314850069</v>
      </c>
      <c r="G73" s="9">
        <f>G64/G62-G64/F62</f>
        <v>-1806.7644706362335</v>
      </c>
      <c r="H73" s="22" t="s">
        <v>7</v>
      </c>
      <c r="I73" s="38"/>
    </row>
    <row r="74" spans="1:9" x14ac:dyDescent="0.2">
      <c r="A74" s="39">
        <f t="shared" si="9"/>
        <v>12</v>
      </c>
      <c r="B74" s="40" t="s">
        <v>50</v>
      </c>
      <c r="C74" s="9"/>
      <c r="D74" s="9">
        <f>D67/D62</f>
        <v>4462.9574531389471</v>
      </c>
      <c r="E74" s="9">
        <f t="shared" ref="E74:G74" si="10">E67/E62</f>
        <v>3319.664871421413</v>
      </c>
      <c r="F74" s="9">
        <f t="shared" si="10"/>
        <v>2194.8923081235166</v>
      </c>
      <c r="G74" s="9">
        <f t="shared" si="10"/>
        <v>1088.4123317085773</v>
      </c>
      <c r="H74" s="22" t="s">
        <v>7</v>
      </c>
      <c r="I74" s="38"/>
    </row>
    <row r="75" spans="1:9" x14ac:dyDescent="0.2">
      <c r="A75" s="39">
        <f t="shared" si="9"/>
        <v>13</v>
      </c>
      <c r="B75" s="40" t="s">
        <v>55</v>
      </c>
      <c r="C75" s="9"/>
      <c r="D75" s="9">
        <f>D74*0.04</f>
        <v>178.51829812555789</v>
      </c>
      <c r="E75" s="9">
        <f>E74*0.04</f>
        <v>132.78659485685651</v>
      </c>
      <c r="F75" s="9">
        <f>F74*0.04</f>
        <v>87.79569232494066</v>
      </c>
      <c r="G75" s="9">
        <f>G74*0.04</f>
        <v>43.536493268343094</v>
      </c>
      <c r="H75" s="22" t="s">
        <v>7</v>
      </c>
      <c r="I75" s="38"/>
    </row>
    <row r="76" spans="1:9" x14ac:dyDescent="0.2">
      <c r="A76" s="39">
        <f t="shared" si="9"/>
        <v>14</v>
      </c>
      <c r="B76" s="40" t="s">
        <v>16</v>
      </c>
      <c r="C76" s="9"/>
      <c r="D76" s="9">
        <f>(D71+D73)*0.3</f>
        <v>16521.868491520399</v>
      </c>
      <c r="E76" s="9">
        <f>(E71+E73)*0.3</f>
        <v>12289.39935400208</v>
      </c>
      <c r="F76" s="9">
        <f>(F71+F73)*0.3</f>
        <v>8125.4913246732685</v>
      </c>
      <c r="G76" s="9">
        <f>(G71+G73)*0.3</f>
        <v>4029.3024519851542</v>
      </c>
      <c r="H76" s="22" t="s">
        <v>7</v>
      </c>
      <c r="I76" s="14"/>
    </row>
    <row r="77" spans="1:9" x14ac:dyDescent="0.2">
      <c r="A77" s="39">
        <f t="shared" si="9"/>
        <v>15</v>
      </c>
      <c r="B77" s="40" t="s">
        <v>14</v>
      </c>
      <c r="C77" s="9"/>
      <c r="D77" s="9">
        <f>$C$69/4*0.3</f>
        <v>337.5</v>
      </c>
      <c r="E77" s="9">
        <f>$C$69/4*0.3</f>
        <v>337.5</v>
      </c>
      <c r="F77" s="9">
        <f>$C$69/4*0.3</f>
        <v>337.5</v>
      </c>
      <c r="G77" s="9">
        <f>$C$69/4*0.3</f>
        <v>337.5</v>
      </c>
      <c r="H77" s="22" t="s">
        <v>7</v>
      </c>
      <c r="I77" s="14"/>
    </row>
    <row r="78" spans="1:9" x14ac:dyDescent="0.2">
      <c r="A78" s="39">
        <f t="shared" si="9"/>
        <v>16</v>
      </c>
      <c r="B78" s="40" t="s">
        <v>51</v>
      </c>
      <c r="C78" s="9"/>
      <c r="D78" s="9">
        <f>D74*0.3</f>
        <v>1338.8872359416841</v>
      </c>
      <c r="E78" s="9">
        <f>E74*0.3</f>
        <v>995.89946142642384</v>
      </c>
      <c r="F78" s="9">
        <f>F74*0.3</f>
        <v>658.46769243705501</v>
      </c>
      <c r="G78" s="9">
        <f>G74*0.3</f>
        <v>326.52369951257316</v>
      </c>
      <c r="H78" s="22" t="s">
        <v>7</v>
      </c>
      <c r="I78" s="38"/>
    </row>
    <row r="79" spans="1:9" x14ac:dyDescent="0.2">
      <c r="A79" s="39">
        <f t="shared" si="9"/>
        <v>17</v>
      </c>
      <c r="B79" s="40" t="s">
        <v>57</v>
      </c>
      <c r="C79" s="9"/>
      <c r="D79" s="9">
        <f>(D72+D75)*0.3</f>
        <v>803.33234156501044</v>
      </c>
      <c r="E79" s="9">
        <f>(E72+E75)*0.3</f>
        <v>597.5396768558544</v>
      </c>
      <c r="F79" s="9">
        <f>(F72+F75)*0.3</f>
        <v>395.08061546223308</v>
      </c>
      <c r="G79" s="9">
        <f>(G72+G75)*0.3</f>
        <v>195.91421970754388</v>
      </c>
      <c r="H79" s="22" t="s">
        <v>7</v>
      </c>
      <c r="I79" s="38"/>
    </row>
    <row r="80" spans="1:9" ht="13.5" thickBot="1" x14ac:dyDescent="0.25">
      <c r="A80" s="11" t="s">
        <v>56</v>
      </c>
      <c r="B80" s="11"/>
      <c r="C80" s="12">
        <f>C68-C69-C70-C71-C72-C74+C78+C76+C77+C79</f>
        <v>895500</v>
      </c>
      <c r="D80" s="12">
        <f>D68-D69-D70-D71-D72-D74-D75+D78+D76+D77+D79</f>
        <v>-273768.42085688788</v>
      </c>
      <c r="E80" s="12">
        <f t="shared" ref="E80:G80" si="11">E68-E69-E70-E71-E72-E74-E75+E78+E76+E77+E79</f>
        <v>-258877.42492998386</v>
      </c>
      <c r="F80" s="12">
        <f t="shared" si="11"/>
        <v>-244213.01118650599</v>
      </c>
      <c r="G80" s="12">
        <f t="shared" si="11"/>
        <v>-229772.45834516399</v>
      </c>
      <c r="H80" s="26" t="s">
        <v>7</v>
      </c>
      <c r="I80" s="38"/>
    </row>
    <row r="81" spans="1:19" ht="13.5" thickBot="1" x14ac:dyDescent="0.25">
      <c r="A81" s="27"/>
      <c r="B81" s="18"/>
      <c r="C81" s="28"/>
      <c r="D81" s="28"/>
      <c r="E81" s="38"/>
      <c r="F81" s="18"/>
    </row>
    <row r="82" spans="1:19" x14ac:dyDescent="0.2">
      <c r="A82" s="5" t="s">
        <v>10</v>
      </c>
      <c r="B82" s="6"/>
      <c r="C82" s="32">
        <f>IRR(C80:G80)</f>
        <v>5.0017854088167502E-2</v>
      </c>
      <c r="D82" s="38"/>
      <c r="E82" s="38"/>
      <c r="F82" s="38"/>
    </row>
    <row r="83" spans="1:19" x14ac:dyDescent="0.2">
      <c r="A83" s="13"/>
      <c r="B83" s="13"/>
      <c r="C83" s="14"/>
      <c r="D83" s="14"/>
      <c r="E83" s="14"/>
      <c r="F83" s="14"/>
    </row>
    <row r="85" spans="1:19" s="36" customFormat="1" x14ac:dyDescent="0.2">
      <c r="A85" s="36" t="s">
        <v>36</v>
      </c>
    </row>
    <row r="87" spans="1:19" x14ac:dyDescent="0.2">
      <c r="B87" s="38" t="s">
        <v>37</v>
      </c>
      <c r="C87" s="56">
        <v>900000</v>
      </c>
      <c r="D87" s="48"/>
      <c r="E87" s="48" t="s">
        <v>32</v>
      </c>
      <c r="F87" s="48"/>
      <c r="G87" s="38"/>
    </row>
    <row r="88" spans="1:19" x14ac:dyDescent="0.2">
      <c r="B88" s="38" t="s">
        <v>38</v>
      </c>
      <c r="C88" s="59" t="s">
        <v>39</v>
      </c>
      <c r="D88" s="48"/>
      <c r="E88" s="48"/>
      <c r="F88" s="47"/>
      <c r="H88" s="51"/>
    </row>
    <row r="89" spans="1:19" x14ac:dyDescent="0.2">
      <c r="B89" s="38" t="s">
        <v>40</v>
      </c>
      <c r="C89" s="58">
        <v>0.06</v>
      </c>
      <c r="D89" s="48"/>
      <c r="E89" s="48"/>
      <c r="F89" s="48"/>
    </row>
    <row r="90" spans="1:19" x14ac:dyDescent="0.2">
      <c r="B90" s="38" t="s">
        <v>41</v>
      </c>
      <c r="C90" s="57">
        <v>0.1</v>
      </c>
      <c r="D90" s="48"/>
      <c r="E90" s="48"/>
      <c r="F90" s="48"/>
    </row>
    <row r="91" spans="1:19" x14ac:dyDescent="0.2">
      <c r="B91" s="37" t="s">
        <v>59</v>
      </c>
      <c r="C91" s="37">
        <f>4*4</f>
        <v>16</v>
      </c>
      <c r="D91" s="47"/>
      <c r="E91" s="47"/>
      <c r="F91" s="47"/>
    </row>
    <row r="92" spans="1:19" x14ac:dyDescent="0.2">
      <c r="B92" s="37" t="s">
        <v>60</v>
      </c>
      <c r="C92" s="52">
        <f>C89/4</f>
        <v>1.4999999999999999E-2</v>
      </c>
      <c r="D92" s="47"/>
      <c r="E92" s="47"/>
      <c r="F92" s="47"/>
    </row>
    <row r="93" spans="1:19" x14ac:dyDescent="0.2">
      <c r="B93" s="37" t="s">
        <v>53</v>
      </c>
      <c r="C93" s="37">
        <f>(1-(1+C92)^-C91)/C92*(1+C92)</f>
        <v>14.343233006012516</v>
      </c>
      <c r="D93" s="47"/>
      <c r="E93" s="47"/>
      <c r="F93" s="47"/>
    </row>
    <row r="94" spans="1:19" x14ac:dyDescent="0.2">
      <c r="B94" s="37" t="s">
        <v>49</v>
      </c>
      <c r="C94" s="56">
        <f>(C87-C87*C90/(1+C92)^C91)/C93</f>
        <v>57802.672947839535</v>
      </c>
      <c r="D94" s="47"/>
      <c r="E94" s="47"/>
      <c r="F94" s="47"/>
    </row>
    <row r="95" spans="1:19" ht="13.5" thickBot="1" x14ac:dyDescent="0.25">
      <c r="B95" s="36"/>
      <c r="C95" s="47"/>
      <c r="D95" s="47"/>
      <c r="E95" s="47"/>
      <c r="F95" s="47"/>
    </row>
    <row r="96" spans="1:19" x14ac:dyDescent="0.2">
      <c r="A96" s="5"/>
      <c r="B96" s="6"/>
      <c r="C96" s="50">
        <v>0</v>
      </c>
      <c r="D96" s="50">
        <v>0.25</v>
      </c>
      <c r="E96" s="50">
        <v>0.5</v>
      </c>
      <c r="F96" s="50">
        <v>0.75</v>
      </c>
      <c r="G96" s="50">
        <v>1</v>
      </c>
      <c r="H96" s="50">
        <v>1.25</v>
      </c>
      <c r="I96" s="50">
        <v>1.5</v>
      </c>
      <c r="J96" s="50">
        <v>1.75</v>
      </c>
      <c r="K96" s="50">
        <v>2</v>
      </c>
      <c r="L96" s="50">
        <v>2.25</v>
      </c>
      <c r="M96" s="50">
        <v>2.5</v>
      </c>
      <c r="N96" s="50">
        <v>2.75</v>
      </c>
      <c r="O96" s="50">
        <v>3</v>
      </c>
      <c r="P96" s="50">
        <v>3.25</v>
      </c>
      <c r="Q96" s="50">
        <v>3.5</v>
      </c>
      <c r="R96" s="50">
        <v>3.75</v>
      </c>
      <c r="S96" s="50">
        <v>4</v>
      </c>
    </row>
    <row r="97" spans="1:19" x14ac:dyDescent="0.2">
      <c r="A97" s="39">
        <v>1</v>
      </c>
      <c r="B97" s="40" t="s">
        <v>42</v>
      </c>
      <c r="C97" s="34">
        <v>900000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</row>
    <row r="98" spans="1:19" x14ac:dyDescent="0.2">
      <c r="A98" s="39">
        <f>A97+1</f>
        <v>2</v>
      </c>
      <c r="B98" s="40" t="s">
        <v>43</v>
      </c>
      <c r="C98" s="34">
        <v>900000</v>
      </c>
      <c r="D98" s="34">
        <f>C98-C100</f>
        <v>842197.32705216052</v>
      </c>
      <c r="E98" s="34">
        <f t="shared" ref="E98:R98" si="12">D98-D100</f>
        <v>797027.6140101034</v>
      </c>
      <c r="F98" s="34">
        <f>E98-E100</f>
        <v>751180.35527241544</v>
      </c>
      <c r="G98" s="34">
        <f t="shared" si="12"/>
        <v>704645.38765366212</v>
      </c>
      <c r="H98" s="34">
        <f t="shared" si="12"/>
        <v>657412.3955206275</v>
      </c>
      <c r="I98" s="34">
        <f t="shared" si="12"/>
        <v>609470.90850559738</v>
      </c>
      <c r="J98" s="34">
        <f t="shared" si="12"/>
        <v>560810.29918534181</v>
      </c>
      <c r="K98" s="34">
        <f t="shared" si="12"/>
        <v>511419.78072528238</v>
      </c>
      <c r="L98" s="34">
        <f t="shared" si="12"/>
        <v>461288.40448832209</v>
      </c>
      <c r="M98" s="34">
        <f t="shared" si="12"/>
        <v>410405.05760780739</v>
      </c>
      <c r="N98" s="34">
        <f t="shared" si="12"/>
        <v>358758.46052408498</v>
      </c>
      <c r="O98" s="34">
        <f t="shared" si="12"/>
        <v>306337.1644841067</v>
      </c>
      <c r="P98" s="34">
        <f t="shared" si="12"/>
        <v>253129.54900352878</v>
      </c>
      <c r="Q98" s="34">
        <f t="shared" si="12"/>
        <v>199123.81929074216</v>
      </c>
      <c r="R98" s="34">
        <f t="shared" si="12"/>
        <v>144308.00363226375</v>
      </c>
      <c r="S98" s="34">
        <f>R102</f>
        <v>88669.95073890817</v>
      </c>
    </row>
    <row r="99" spans="1:19" x14ac:dyDescent="0.2">
      <c r="A99" s="39">
        <f t="shared" ref="A99:A103" si="13">A98+1</f>
        <v>3</v>
      </c>
      <c r="B99" s="40" t="s">
        <v>44</v>
      </c>
      <c r="C99" s="34">
        <f>$C$94</f>
        <v>57802.672947839535</v>
      </c>
      <c r="D99" s="34">
        <f t="shared" ref="D99:R99" si="14">$C$94</f>
        <v>57802.672947839535</v>
      </c>
      <c r="E99" s="34">
        <f t="shared" si="14"/>
        <v>57802.672947839535</v>
      </c>
      <c r="F99" s="34">
        <f t="shared" si="14"/>
        <v>57802.672947839535</v>
      </c>
      <c r="G99" s="34">
        <f t="shared" si="14"/>
        <v>57802.672947839535</v>
      </c>
      <c r="H99" s="34">
        <f t="shared" si="14"/>
        <v>57802.672947839535</v>
      </c>
      <c r="I99" s="34">
        <f t="shared" si="14"/>
        <v>57802.672947839535</v>
      </c>
      <c r="J99" s="34">
        <f t="shared" si="14"/>
        <v>57802.672947839535</v>
      </c>
      <c r="K99" s="34">
        <f t="shared" si="14"/>
        <v>57802.672947839535</v>
      </c>
      <c r="L99" s="34">
        <f t="shared" si="14"/>
        <v>57802.672947839535</v>
      </c>
      <c r="M99" s="34">
        <f t="shared" si="14"/>
        <v>57802.672947839535</v>
      </c>
      <c r="N99" s="34">
        <f t="shared" si="14"/>
        <v>57802.672947839535</v>
      </c>
      <c r="O99" s="34">
        <f t="shared" si="14"/>
        <v>57802.672947839535</v>
      </c>
      <c r="P99" s="34">
        <f t="shared" si="14"/>
        <v>57802.672947839535</v>
      </c>
      <c r="Q99" s="34">
        <f t="shared" si="14"/>
        <v>57802.672947839535</v>
      </c>
      <c r="R99" s="34">
        <f t="shared" si="14"/>
        <v>57802.672947839535</v>
      </c>
      <c r="S99" s="34">
        <v>90000</v>
      </c>
    </row>
    <row r="100" spans="1:19" x14ac:dyDescent="0.2">
      <c r="A100" s="39">
        <f t="shared" si="13"/>
        <v>4</v>
      </c>
      <c r="B100" s="40" t="s">
        <v>45</v>
      </c>
      <c r="C100" s="34">
        <f>C99-C101</f>
        <v>57802.672947839535</v>
      </c>
      <c r="D100" s="34">
        <f>D99-D101</f>
        <v>45169.713042057127</v>
      </c>
      <c r="E100" s="34">
        <f t="shared" ref="E100:S100" si="15">E99-E101</f>
        <v>45847.258737687982</v>
      </c>
      <c r="F100" s="34">
        <f t="shared" si="15"/>
        <v>46534.967618753304</v>
      </c>
      <c r="G100" s="34">
        <f t="shared" si="15"/>
        <v>47232.992133034604</v>
      </c>
      <c r="H100" s="34">
        <f t="shared" si="15"/>
        <v>47941.487015030121</v>
      </c>
      <c r="I100" s="34">
        <f t="shared" si="15"/>
        <v>48660.609320255578</v>
      </c>
      <c r="J100" s="34">
        <f t="shared" si="15"/>
        <v>49390.518460059408</v>
      </c>
      <c r="K100" s="34">
        <f t="shared" si="15"/>
        <v>50131.376236960299</v>
      </c>
      <c r="L100" s="34">
        <f t="shared" si="15"/>
        <v>50883.346880514706</v>
      </c>
      <c r="M100" s="34">
        <f t="shared" si="15"/>
        <v>51646.597083722423</v>
      </c>
      <c r="N100" s="34">
        <f t="shared" si="15"/>
        <v>52421.296039978261</v>
      </c>
      <c r="O100" s="34">
        <f t="shared" si="15"/>
        <v>53207.615480577937</v>
      </c>
      <c r="P100" s="34">
        <f t="shared" si="15"/>
        <v>54005.729712786604</v>
      </c>
      <c r="Q100" s="34">
        <f t="shared" si="15"/>
        <v>54815.815658478401</v>
      </c>
      <c r="R100" s="34">
        <f t="shared" si="15"/>
        <v>55638.052893355576</v>
      </c>
      <c r="S100" s="34">
        <f t="shared" si="15"/>
        <v>88669.950738916377</v>
      </c>
    </row>
    <row r="101" spans="1:19" x14ac:dyDescent="0.2">
      <c r="A101" s="39">
        <f t="shared" si="13"/>
        <v>5</v>
      </c>
      <c r="B101" s="40" t="s">
        <v>46</v>
      </c>
      <c r="C101" s="34">
        <v>0</v>
      </c>
      <c r="D101" s="34">
        <f>$C$92*D98</f>
        <v>12632.959905782407</v>
      </c>
      <c r="E101" s="34">
        <f t="shared" ref="E101:S101" si="16">$C$92*E98</f>
        <v>11955.41421015155</v>
      </c>
      <c r="F101" s="34">
        <f t="shared" si="16"/>
        <v>11267.705329086231</v>
      </c>
      <c r="G101" s="34">
        <f t="shared" si="16"/>
        <v>10569.680814804931</v>
      </c>
      <c r="H101" s="34">
        <f t="shared" si="16"/>
        <v>9861.1859328094124</v>
      </c>
      <c r="I101" s="34">
        <f t="shared" si="16"/>
        <v>9142.0636275839606</v>
      </c>
      <c r="J101" s="34">
        <f t="shared" si="16"/>
        <v>8412.1544877801261</v>
      </c>
      <c r="K101" s="34">
        <f t="shared" si="16"/>
        <v>7671.2967108792354</v>
      </c>
      <c r="L101" s="34">
        <f t="shared" si="16"/>
        <v>6919.3260673248315</v>
      </c>
      <c r="M101" s="34">
        <f t="shared" si="16"/>
        <v>6156.0758641171105</v>
      </c>
      <c r="N101" s="34">
        <f t="shared" si="16"/>
        <v>5381.376907861274</v>
      </c>
      <c r="O101" s="34">
        <f t="shared" si="16"/>
        <v>4595.0574672616003</v>
      </c>
      <c r="P101" s="34">
        <f t="shared" si="16"/>
        <v>3796.9432350529314</v>
      </c>
      <c r="Q101" s="34">
        <f t="shared" si="16"/>
        <v>2986.8572893611322</v>
      </c>
      <c r="R101" s="34">
        <f t="shared" si="16"/>
        <v>2164.6200544839562</v>
      </c>
      <c r="S101" s="34">
        <f t="shared" si="16"/>
        <v>1330.0492610836225</v>
      </c>
    </row>
    <row r="102" spans="1:19" x14ac:dyDescent="0.2">
      <c r="A102" s="39">
        <f t="shared" si="13"/>
        <v>6</v>
      </c>
      <c r="B102" s="40" t="s">
        <v>47</v>
      </c>
      <c r="C102" s="34">
        <f>C98-C99</f>
        <v>842197.32705216052</v>
      </c>
      <c r="D102" s="34">
        <f>D98-D100</f>
        <v>797027.6140101034</v>
      </c>
      <c r="E102" s="34">
        <f t="shared" ref="E102:S102" si="17">E98-E100</f>
        <v>751180.35527241544</v>
      </c>
      <c r="F102" s="34">
        <f t="shared" si="17"/>
        <v>704645.38765366212</v>
      </c>
      <c r="G102" s="34">
        <f t="shared" si="17"/>
        <v>657412.3955206275</v>
      </c>
      <c r="H102" s="34">
        <f t="shared" si="17"/>
        <v>609470.90850559738</v>
      </c>
      <c r="I102" s="34">
        <f t="shared" si="17"/>
        <v>560810.29918534181</v>
      </c>
      <c r="J102" s="34">
        <f t="shared" si="17"/>
        <v>511419.78072528238</v>
      </c>
      <c r="K102" s="34">
        <f t="shared" si="17"/>
        <v>461288.40448832209</v>
      </c>
      <c r="L102" s="34">
        <f t="shared" si="17"/>
        <v>410405.05760780739</v>
      </c>
      <c r="M102" s="34">
        <f t="shared" si="17"/>
        <v>358758.46052408498</v>
      </c>
      <c r="N102" s="34">
        <f t="shared" si="17"/>
        <v>306337.1644841067</v>
      </c>
      <c r="O102" s="34">
        <f t="shared" si="17"/>
        <v>253129.54900352878</v>
      </c>
      <c r="P102" s="34">
        <f t="shared" si="17"/>
        <v>199123.81929074216</v>
      </c>
      <c r="Q102" s="34">
        <f t="shared" si="17"/>
        <v>144308.00363226375</v>
      </c>
      <c r="R102" s="34">
        <f t="shared" si="17"/>
        <v>88669.95073890817</v>
      </c>
      <c r="S102" s="34">
        <f t="shared" si="17"/>
        <v>-8.2072801887989044E-9</v>
      </c>
    </row>
    <row r="103" spans="1:19" x14ac:dyDescent="0.2">
      <c r="A103" s="39">
        <f t="shared" si="13"/>
        <v>7</v>
      </c>
      <c r="B103" s="40" t="s">
        <v>48</v>
      </c>
      <c r="C103" s="34"/>
      <c r="D103" s="34"/>
      <c r="E103" s="34"/>
      <c r="F103" s="34"/>
      <c r="G103" s="34">
        <f>SUM(D101:G101)*0.3</f>
        <v>13927.728077947535</v>
      </c>
      <c r="H103" s="34"/>
      <c r="I103" s="34"/>
      <c r="J103" s="34"/>
      <c r="K103" s="34">
        <f>SUM(H101:K101)*0.3</f>
        <v>10526.01022771582</v>
      </c>
      <c r="L103" s="34"/>
      <c r="M103" s="34"/>
      <c r="N103" s="34"/>
      <c r="O103" s="34">
        <f>SUM(L101:O101)*0.3</f>
        <v>6915.5508919694448</v>
      </c>
      <c r="P103" s="34"/>
      <c r="Q103" s="34"/>
      <c r="R103" s="34"/>
      <c r="S103" s="34">
        <f>SUM(P101:S101)*0.3</f>
        <v>3083.5409519944928</v>
      </c>
    </row>
    <row r="104" spans="1:19" ht="13.5" thickBot="1" x14ac:dyDescent="0.25">
      <c r="A104" s="11" t="s">
        <v>56</v>
      </c>
      <c r="B104" s="11"/>
      <c r="C104" s="12">
        <f>C97-C99+C103</f>
        <v>842197.32705216052</v>
      </c>
      <c r="D104" s="12">
        <f t="shared" ref="D104:S104" si="18">D97-D99+D103</f>
        <v>-57802.672947839535</v>
      </c>
      <c r="E104" s="12">
        <f t="shared" si="18"/>
        <v>-57802.672947839535</v>
      </c>
      <c r="F104" s="12">
        <f t="shared" si="18"/>
        <v>-57802.672947839535</v>
      </c>
      <c r="G104" s="12">
        <f t="shared" si="18"/>
        <v>-43874.944869892002</v>
      </c>
      <c r="H104" s="12">
        <f t="shared" si="18"/>
        <v>-57802.672947839535</v>
      </c>
      <c r="I104" s="12">
        <f t="shared" si="18"/>
        <v>-57802.672947839535</v>
      </c>
      <c r="J104" s="12">
        <f t="shared" si="18"/>
        <v>-57802.672947839535</v>
      </c>
      <c r="K104" s="12">
        <f t="shared" si="18"/>
        <v>-47276.662720123713</v>
      </c>
      <c r="L104" s="12">
        <f t="shared" si="18"/>
        <v>-57802.672947839535</v>
      </c>
      <c r="M104" s="12">
        <f t="shared" si="18"/>
        <v>-57802.672947839535</v>
      </c>
      <c r="N104" s="12">
        <f t="shared" si="18"/>
        <v>-57802.672947839535</v>
      </c>
      <c r="O104" s="12">
        <f t="shared" si="18"/>
        <v>-50887.122055870088</v>
      </c>
      <c r="P104" s="12">
        <f t="shared" si="18"/>
        <v>-57802.672947839535</v>
      </c>
      <c r="Q104" s="12">
        <f t="shared" si="18"/>
        <v>-57802.672947839535</v>
      </c>
      <c r="R104" s="12">
        <f t="shared" si="18"/>
        <v>-57802.672947839535</v>
      </c>
      <c r="S104" s="12">
        <f t="shared" si="18"/>
        <v>-86916.459048005505</v>
      </c>
    </row>
    <row r="105" spans="1:19" ht="13.5" thickBot="1" x14ac:dyDescent="0.25">
      <c r="A105" s="11" t="s">
        <v>58</v>
      </c>
      <c r="B105" s="11"/>
      <c r="C105" s="12">
        <f t="shared" ref="C105:S105" si="19">C104/(1+$C$106)^C96</f>
        <v>842197.32705216052</v>
      </c>
      <c r="D105" s="12">
        <f t="shared" si="19"/>
        <v>-57197.70854287401</v>
      </c>
      <c r="E105" s="12">
        <f t="shared" si="19"/>
        <v>-56599.075712429367</v>
      </c>
      <c r="F105" s="12">
        <f t="shared" si="19"/>
        <v>-56006.708190068137</v>
      </c>
      <c r="G105" s="12">
        <f t="shared" si="19"/>
        <v>-42066.794333733495</v>
      </c>
      <c r="H105" s="12">
        <f t="shared" si="19"/>
        <v>-54840.507464319351</v>
      </c>
      <c r="I105" s="12">
        <f t="shared" si="19"/>
        <v>-54266.545166830139</v>
      </c>
      <c r="J105" s="12">
        <f t="shared" si="19"/>
        <v>-53698.589974930779</v>
      </c>
      <c r="K105" s="12">
        <f t="shared" si="19"/>
        <v>-43460.276077649643</v>
      </c>
      <c r="L105" s="12">
        <f t="shared" si="19"/>
        <v>-52580.450083760457</v>
      </c>
      <c r="M105" s="12">
        <f t="shared" si="19"/>
        <v>-52030.141610544248</v>
      </c>
      <c r="N105" s="12">
        <f t="shared" si="19"/>
        <v>-51485.592681326067</v>
      </c>
      <c r="O105" s="12">
        <f t="shared" si="19"/>
        <v>-44851.440219243937</v>
      </c>
      <c r="P105" s="12">
        <f t="shared" si="19"/>
        <v>-50413.5329675717</v>
      </c>
      <c r="Q105" s="12">
        <f t="shared" si="19"/>
        <v>-49885.90350999526</v>
      </c>
      <c r="R105" s="12">
        <f t="shared" si="19"/>
        <v>-49363.796237199669</v>
      </c>
      <c r="S105" s="12">
        <f t="shared" si="19"/>
        <v>-73450.264279684212</v>
      </c>
    </row>
    <row r="106" spans="1:19" ht="13.5" thickBot="1" x14ac:dyDescent="0.25">
      <c r="A106" s="11" t="s">
        <v>10</v>
      </c>
      <c r="B106" s="11"/>
      <c r="C106" s="33">
        <v>4.2982845847812756E-2</v>
      </c>
      <c r="D106" s="12">
        <f>SUM(C105:S105)</f>
        <v>0</v>
      </c>
      <c r="E106" s="14"/>
      <c r="F106" s="14"/>
      <c r="G106" s="10"/>
    </row>
    <row r="107" spans="1:19" x14ac:dyDescent="0.2">
      <c r="B107" s="5"/>
      <c r="C107" s="14"/>
      <c r="D107" s="14"/>
      <c r="E107" s="14"/>
      <c r="F107" s="14"/>
      <c r="G107" s="10"/>
    </row>
    <row r="108" spans="1:19" ht="13.5" thickBot="1" x14ac:dyDescent="0.25">
      <c r="A108" s="11" t="s">
        <v>10</v>
      </c>
      <c r="B108" s="11"/>
      <c r="C108" s="33">
        <f>((1+IRR(C104:S104))^4)-1</f>
        <v>4.2982845847812756E-2</v>
      </c>
      <c r="D108" s="12"/>
      <c r="E108" s="14"/>
      <c r="F108" s="10"/>
      <c r="G108" s="38"/>
    </row>
    <row r="110" spans="1:19" x14ac:dyDescent="0.2">
      <c r="D110" s="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Folha1</vt:lpstr>
    </vt:vector>
  </TitlesOfParts>
  <Company>ED-ROM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Vilela</dc:creator>
  <cp:lastModifiedBy>António Vilela</cp:lastModifiedBy>
  <cp:lastPrinted>2013-10-17T18:30:08Z</cp:lastPrinted>
  <dcterms:created xsi:type="dcterms:W3CDTF">2004-02-16T15:37:21Z</dcterms:created>
  <dcterms:modified xsi:type="dcterms:W3CDTF">2013-11-04T18:40:26Z</dcterms:modified>
</cp:coreProperties>
</file>