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16260" windowHeight="5805" firstSheet="1" activeTab="1"/>
  </bookViews>
  <sheets>
    <sheet name="Identificação" sheetId="5" r:id="rId1"/>
    <sheet name="Empréstimo Bancário" sheetId="3" r:id="rId2"/>
    <sheet name="Empréstimo Obrigacionista" sheetId="1" r:id="rId3"/>
    <sheet name="Empréstimo Bancário em Divisas" sheetId="4" r:id="rId4"/>
    <sheet name="Leasing" sheetId="2" r:id="rId5"/>
    <sheet name="Folha1" sheetId="6" state="hidden" r:id="rId6"/>
  </sheets>
  <calcPr calcId="144525"/>
</workbook>
</file>

<file path=xl/calcChain.xml><?xml version="1.0" encoding="utf-8"?>
<calcChain xmlns="http://schemas.openxmlformats.org/spreadsheetml/2006/main">
  <c r="C25" i="2" l="1"/>
  <c r="D25" i="2" l="1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B25" i="2"/>
  <c r="N23" i="2"/>
  <c r="R23" i="2"/>
  <c r="J23" i="2"/>
  <c r="F23" i="2"/>
  <c r="R22" i="2"/>
  <c r="D19" i="2"/>
  <c r="C19" i="2"/>
  <c r="B19" i="2"/>
  <c r="B20" i="2"/>
  <c r="B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C22" i="2"/>
  <c r="B18" i="2"/>
  <c r="B10" i="2"/>
  <c r="B9" i="2"/>
  <c r="B11" i="2" s="1"/>
  <c r="B12" i="2" s="1"/>
  <c r="C21" i="2" l="1"/>
  <c r="C20" i="2" s="1"/>
  <c r="D21" i="2" s="1"/>
  <c r="D20" i="2" s="1"/>
  <c r="E19" i="2" s="1"/>
  <c r="C29" i="4"/>
  <c r="B21" i="4"/>
  <c r="B28" i="4" s="1"/>
  <c r="D20" i="4"/>
  <c r="E20" i="4"/>
  <c r="F20" i="4"/>
  <c r="C20" i="4"/>
  <c r="D19" i="4"/>
  <c r="E19" i="4"/>
  <c r="F19" i="4"/>
  <c r="C19" i="4"/>
  <c r="D18" i="4"/>
  <c r="C18" i="4"/>
  <c r="B17" i="4"/>
  <c r="D16" i="4"/>
  <c r="E16" i="4" s="1"/>
  <c r="F16" i="4" s="1"/>
  <c r="F29" i="4" s="1"/>
  <c r="C16" i="4"/>
  <c r="C24" i="4" s="1"/>
  <c r="B16" i="4"/>
  <c r="D25" i="1"/>
  <c r="E25" i="1"/>
  <c r="F25" i="1"/>
  <c r="D24" i="1"/>
  <c r="E24" i="1"/>
  <c r="F24" i="1"/>
  <c r="C25" i="1"/>
  <c r="C24" i="1"/>
  <c r="D23" i="1"/>
  <c r="E23" i="1"/>
  <c r="F23" i="1"/>
  <c r="C23" i="1"/>
  <c r="D18" i="1"/>
  <c r="E18" i="1"/>
  <c r="F18" i="1"/>
  <c r="C18" i="1"/>
  <c r="B9" i="1"/>
  <c r="B8" i="1"/>
  <c r="B7" i="1"/>
  <c r="C15" i="3"/>
  <c r="B14" i="3"/>
  <c r="B20" i="3" s="1"/>
  <c r="E2" i="3"/>
  <c r="E1" i="3"/>
  <c r="C17" i="3" l="1"/>
  <c r="C21" i="3" s="1"/>
  <c r="E3" i="3"/>
  <c r="E4" i="3" s="1"/>
  <c r="B19" i="3"/>
  <c r="C27" i="4"/>
  <c r="C30" i="4"/>
  <c r="F22" i="4"/>
  <c r="F26" i="4" s="1"/>
  <c r="D22" i="4"/>
  <c r="D26" i="4" s="1"/>
  <c r="F23" i="4"/>
  <c r="D23" i="4"/>
  <c r="F24" i="4"/>
  <c r="D24" i="4"/>
  <c r="E29" i="4"/>
  <c r="C22" i="4"/>
  <c r="C26" i="4" s="1"/>
  <c r="E22" i="4"/>
  <c r="E26" i="4" s="1"/>
  <c r="C23" i="4"/>
  <c r="E23" i="4"/>
  <c r="E24" i="4"/>
  <c r="B25" i="4"/>
  <c r="D29" i="4"/>
  <c r="B22" i="3"/>
  <c r="R24" i="3" s="1"/>
  <c r="E21" i="2"/>
  <c r="E20" i="2" s="1"/>
  <c r="F19" i="2" s="1"/>
  <c r="E18" i="4"/>
  <c r="J24" i="3" l="1"/>
  <c r="B27" i="3"/>
  <c r="B28" i="3" s="1"/>
  <c r="J26" i="3"/>
  <c r="C16" i="3"/>
  <c r="C27" i="3" s="1"/>
  <c r="C28" i="3" s="1"/>
  <c r="F24" i="3"/>
  <c r="D15" i="3"/>
  <c r="R26" i="3"/>
  <c r="N26" i="3"/>
  <c r="F26" i="3"/>
  <c r="H18" i="3"/>
  <c r="J18" i="3"/>
  <c r="L18" i="3"/>
  <c r="N18" i="3"/>
  <c r="P18" i="3"/>
  <c r="R18" i="3"/>
  <c r="I18" i="3"/>
  <c r="K18" i="3"/>
  <c r="M18" i="3"/>
  <c r="O18" i="3"/>
  <c r="Q18" i="3"/>
  <c r="G18" i="3"/>
  <c r="F31" i="4"/>
  <c r="D31" i="4"/>
  <c r="E31" i="4"/>
  <c r="C31" i="4"/>
  <c r="E28" i="4"/>
  <c r="E33" i="4"/>
  <c r="B35" i="4"/>
  <c r="D30" i="4"/>
  <c r="D27" i="4"/>
  <c r="D32" i="4" s="1"/>
  <c r="D33" i="4"/>
  <c r="D28" i="4"/>
  <c r="E27" i="4"/>
  <c r="E32" i="4" s="1"/>
  <c r="E30" i="4"/>
  <c r="C28" i="4"/>
  <c r="C33" i="4"/>
  <c r="F30" i="4"/>
  <c r="F27" i="4"/>
  <c r="F32" i="4" s="1"/>
  <c r="F33" i="4"/>
  <c r="F28" i="4"/>
  <c r="C32" i="4"/>
  <c r="C35" i="4" s="1"/>
  <c r="N24" i="3"/>
  <c r="F21" i="2"/>
  <c r="F20" i="2" s="1"/>
  <c r="G19" i="2" s="1"/>
  <c r="F18" i="4"/>
  <c r="B7" i="2"/>
  <c r="O27" i="2"/>
  <c r="P27" i="2"/>
  <c r="Q27" i="2"/>
  <c r="C27" i="2"/>
  <c r="D27" i="2"/>
  <c r="E27" i="2"/>
  <c r="G27" i="2"/>
  <c r="H27" i="2"/>
  <c r="I27" i="2"/>
  <c r="K27" i="2"/>
  <c r="L27" i="2"/>
  <c r="M27" i="2"/>
  <c r="B27" i="2"/>
  <c r="D17" i="3" l="1"/>
  <c r="F35" i="4"/>
  <c r="D35" i="4"/>
  <c r="C37" i="4" s="1"/>
  <c r="E35" i="4"/>
  <c r="G21" i="2"/>
  <c r="G20" i="2" s="1"/>
  <c r="H19" i="2" s="1"/>
  <c r="B6" i="2"/>
  <c r="B13" i="2" s="1"/>
  <c r="D21" i="3" l="1"/>
  <c r="D16" i="3"/>
  <c r="H21" i="2"/>
  <c r="H20" i="2" s="1"/>
  <c r="I19" i="2" s="1"/>
  <c r="D22" i="1"/>
  <c r="E22" i="1"/>
  <c r="F22" i="1"/>
  <c r="C22" i="1"/>
  <c r="F19" i="1"/>
  <c r="F17" i="1"/>
  <c r="D16" i="1"/>
  <c r="E16" i="1"/>
  <c r="F16" i="1"/>
  <c r="C16" i="1"/>
  <c r="B20" i="1"/>
  <c r="B27" i="1" s="1"/>
  <c r="B21" i="1"/>
  <c r="B15" i="1"/>
  <c r="D27" i="3" l="1"/>
  <c r="D28" i="3" s="1"/>
  <c r="E15" i="3"/>
  <c r="I21" i="2"/>
  <c r="I20" i="2" s="1"/>
  <c r="J19" i="2" s="1"/>
  <c r="E27" i="1"/>
  <c r="C27" i="1"/>
  <c r="D27" i="1"/>
  <c r="E17" i="3" l="1"/>
  <c r="F27" i="1"/>
  <c r="C29" i="1" s="1"/>
  <c r="E16" i="3" l="1"/>
  <c r="E21" i="3"/>
  <c r="J21" i="2"/>
  <c r="J20" i="2" s="1"/>
  <c r="K19" i="2" s="1"/>
  <c r="E27" i="3" l="1"/>
  <c r="E28" i="3" s="1"/>
  <c r="F15" i="3"/>
  <c r="F17" i="3" l="1"/>
  <c r="K21" i="2"/>
  <c r="K20" i="2" s="1"/>
  <c r="L19" i="2" s="1"/>
  <c r="F16" i="3" l="1"/>
  <c r="F21" i="3"/>
  <c r="F25" i="3" s="1"/>
  <c r="F23" i="3"/>
  <c r="F27" i="3" l="1"/>
  <c r="F28" i="3" s="1"/>
  <c r="G15" i="3"/>
  <c r="L21" i="2"/>
  <c r="L20" i="2" s="1"/>
  <c r="M19" i="2" s="1"/>
  <c r="F27" i="2"/>
  <c r="G17" i="3" l="1"/>
  <c r="G16" i="3" l="1"/>
  <c r="G21" i="3"/>
  <c r="M21" i="2"/>
  <c r="M20" i="2" s="1"/>
  <c r="N19" i="2" s="1"/>
  <c r="G27" i="3" l="1"/>
  <c r="G28" i="3" s="1"/>
  <c r="H15" i="3"/>
  <c r="H17" i="3" l="1"/>
  <c r="N21" i="2"/>
  <c r="N20" i="2" s="1"/>
  <c r="O19" i="2" s="1"/>
  <c r="H16" i="3" l="1"/>
  <c r="H21" i="3"/>
  <c r="O21" i="2"/>
  <c r="O20" i="2" s="1"/>
  <c r="P19" i="2" s="1"/>
  <c r="H27" i="3" l="1"/>
  <c r="H28" i="3" s="1"/>
  <c r="I15" i="3"/>
  <c r="P21" i="2"/>
  <c r="P20" i="2" s="1"/>
  <c r="Q19" i="2" s="1"/>
  <c r="J27" i="2"/>
  <c r="I17" i="3" l="1"/>
  <c r="Q21" i="2"/>
  <c r="Q20" i="2" s="1"/>
  <c r="R19" i="2" s="1"/>
  <c r="I16" i="3" l="1"/>
  <c r="I21" i="3"/>
  <c r="R21" i="2"/>
  <c r="R20" i="2" s="1"/>
  <c r="S19" i="2" s="1"/>
  <c r="I27" i="3" l="1"/>
  <c r="I28" i="3" s="1"/>
  <c r="J15" i="3"/>
  <c r="N27" i="2"/>
  <c r="J17" i="3" l="1"/>
  <c r="R27" i="2"/>
  <c r="C29" i="2" s="1"/>
  <c r="J16" i="3" l="1"/>
  <c r="J21" i="3"/>
  <c r="J25" i="3" s="1"/>
  <c r="J23" i="3"/>
  <c r="J27" i="3" l="1"/>
  <c r="J28" i="3" s="1"/>
  <c r="K15" i="3"/>
  <c r="K17" i="3" l="1"/>
  <c r="K16" i="3" l="1"/>
  <c r="K21" i="3"/>
  <c r="K27" i="3" l="1"/>
  <c r="K28" i="3" s="1"/>
  <c r="L15" i="3"/>
  <c r="L17" i="3" l="1"/>
  <c r="L16" i="3" l="1"/>
  <c r="L21" i="3"/>
  <c r="L27" i="3" l="1"/>
  <c r="L28" i="3" s="1"/>
  <c r="M15" i="3"/>
  <c r="M17" i="3" l="1"/>
  <c r="M16" i="3" l="1"/>
  <c r="M21" i="3"/>
  <c r="M27" i="3" l="1"/>
  <c r="M28" i="3" s="1"/>
  <c r="N15" i="3"/>
  <c r="N17" i="3" l="1"/>
  <c r="N16" i="3" l="1"/>
  <c r="N21" i="3"/>
  <c r="N25" i="3" s="1"/>
  <c r="N23" i="3"/>
  <c r="N27" i="3" l="1"/>
  <c r="N28" i="3" s="1"/>
  <c r="O15" i="3"/>
  <c r="O17" i="3" s="1"/>
  <c r="O16" i="3" l="1"/>
  <c r="O21" i="3"/>
  <c r="P15" i="3" l="1"/>
  <c r="P17" i="3" s="1"/>
  <c r="O27" i="3"/>
  <c r="O28" i="3" s="1"/>
  <c r="P16" i="3" l="1"/>
  <c r="P21" i="3"/>
  <c r="Q15" i="3" l="1"/>
  <c r="Q17" i="3" s="1"/>
  <c r="P27" i="3"/>
  <c r="P28" i="3" s="1"/>
  <c r="Q16" i="3" l="1"/>
  <c r="Q21" i="3"/>
  <c r="R15" i="3" l="1"/>
  <c r="R17" i="3" s="1"/>
  <c r="Q27" i="3"/>
  <c r="Q28" i="3" s="1"/>
  <c r="R16" i="3" l="1"/>
  <c r="R21" i="3"/>
  <c r="R25" i="3" s="1"/>
  <c r="R23" i="3"/>
  <c r="R27" i="3" l="1"/>
  <c r="R28" i="3" s="1"/>
  <c r="C29" i="3" s="1"/>
</calcChain>
</file>

<file path=xl/sharedStrings.xml><?xml version="1.0" encoding="utf-8"?>
<sst xmlns="http://schemas.openxmlformats.org/spreadsheetml/2006/main" count="146" uniqueCount="84">
  <si>
    <t>Capital</t>
  </si>
  <si>
    <t>Taxa Nominal</t>
  </si>
  <si>
    <t>Reembolso (anos)</t>
  </si>
  <si>
    <t>Periodicidade</t>
  </si>
  <si>
    <t>Prestação</t>
  </si>
  <si>
    <t>Postecip.</t>
  </si>
  <si>
    <t>n</t>
  </si>
  <si>
    <t>i</t>
  </si>
  <si>
    <t>ani</t>
  </si>
  <si>
    <t xml:space="preserve">Anual </t>
  </si>
  <si>
    <t>Despesas Emissão</t>
  </si>
  <si>
    <t xml:space="preserve">Mapa de serviço da divída </t>
  </si>
  <si>
    <t>1. Finan. Obtido</t>
  </si>
  <si>
    <t>3. Amortização</t>
  </si>
  <si>
    <t>2. Capital Divida Inicial</t>
  </si>
  <si>
    <t>4. Juro</t>
  </si>
  <si>
    <t>5. Prémio reembolso</t>
  </si>
  <si>
    <t>6. Prémio emissão</t>
  </si>
  <si>
    <t>7. Despesas Emissão</t>
  </si>
  <si>
    <t>Cash Flow (1-3-4-5-6-7+8+9+10+11)</t>
  </si>
  <si>
    <t>Taxa Imp. s/ Lucros</t>
  </si>
  <si>
    <t>All in cost</t>
  </si>
  <si>
    <t>Valor de Emissão</t>
  </si>
  <si>
    <t>Prémio de Reembolso</t>
  </si>
  <si>
    <t>Prémio de Emissão</t>
  </si>
  <si>
    <t>Montante</t>
  </si>
  <si>
    <t>Trimestral</t>
  </si>
  <si>
    <t>Antecipadas</t>
  </si>
  <si>
    <t>äni</t>
  </si>
  <si>
    <t>Valor Residual</t>
  </si>
  <si>
    <t>1. Valor Aquisição</t>
  </si>
  <si>
    <t>Cash Flow</t>
  </si>
  <si>
    <t>5.Prestação</t>
  </si>
  <si>
    <t xml:space="preserve">All in Cost </t>
  </si>
  <si>
    <t>Maturidade (anos)</t>
  </si>
  <si>
    <t>Reembolso de Capital (ao ano)</t>
  </si>
  <si>
    <t>Comissão de Gestão (ao ano)</t>
  </si>
  <si>
    <t>Imp. Selo s/ Juros e Comissões</t>
  </si>
  <si>
    <t>ISAC</t>
  </si>
  <si>
    <t>Taxa de câmbio EUR/USD (ano 0)</t>
  </si>
  <si>
    <t>Taxa anual de apreciação EUR</t>
  </si>
  <si>
    <t>Moeda</t>
  </si>
  <si>
    <t>Taxa de Câmbio</t>
  </si>
  <si>
    <t>USD</t>
  </si>
  <si>
    <t>Finan. Obtido</t>
  </si>
  <si>
    <t>Capital Divida Inicial</t>
  </si>
  <si>
    <t>Amortização</t>
  </si>
  <si>
    <t>Juro</t>
  </si>
  <si>
    <t>EUR</t>
  </si>
  <si>
    <t>Comissão de Gestão</t>
  </si>
  <si>
    <t>Imp. Selo s/ Juro</t>
  </si>
  <si>
    <t>Imp. Selo s/ Comissões</t>
  </si>
  <si>
    <t>Diferença Cambial</t>
  </si>
  <si>
    <t>Efeito Fiscal Juro e Dif. Cambial</t>
  </si>
  <si>
    <t>Efeito Fiscal ISAC</t>
  </si>
  <si>
    <t>Efeito Fiscal Imp. Selo</t>
  </si>
  <si>
    <t>Efeito Fiscal Comissão</t>
  </si>
  <si>
    <t>Taxa Imposto s/ lucros</t>
  </si>
  <si>
    <t>Cash Flow Actualizados (p/ cálculo do AiC)</t>
  </si>
  <si>
    <t>Mapa de serviço da divída (por trimestre)</t>
  </si>
  <si>
    <t>Taxa Nominal (Anual)</t>
  </si>
  <si>
    <t>Comissão de Montagem (flat e antecip.)</t>
  </si>
  <si>
    <t>Carência de capital e juros (em trimes.)</t>
  </si>
  <si>
    <t>Comissão de montagem</t>
  </si>
  <si>
    <t>Imp. Selo s/ Juros</t>
  </si>
  <si>
    <t>9. Efeito Fiscal Desp. Emissão</t>
  </si>
  <si>
    <t>10. Efeito Fiscal Prémio Emissão</t>
  </si>
  <si>
    <t>11. Efeito Fiscal Prémio Reembolso</t>
  </si>
  <si>
    <t>8. Efeito Fiscal Juros</t>
  </si>
  <si>
    <t>6. Efeito Fiscal Juros</t>
  </si>
  <si>
    <t>Efeito Fiscal Juros</t>
  </si>
  <si>
    <t>Efeito Fiscal Comissões</t>
  </si>
  <si>
    <t>Efeito Fiscal Imp. Selo s/ Juros</t>
  </si>
  <si>
    <t>Turma:</t>
  </si>
  <si>
    <t>GC2</t>
  </si>
  <si>
    <t>Elementos do Grupo</t>
  </si>
  <si>
    <t>Nº</t>
  </si>
  <si>
    <t>Nome</t>
  </si>
  <si>
    <t>Ana Cláudia Nabiça Rosado</t>
  </si>
  <si>
    <t>Ana Rafaela Lopes da Silva</t>
  </si>
  <si>
    <t>Cátia Sofia de Pinho</t>
  </si>
  <si>
    <t>João Guilherme de Almeida</t>
  </si>
  <si>
    <t>João Paulo Miró da Costa Rodrigues</t>
  </si>
  <si>
    <t>A fonte de financiamento mais favorável para a empresa é o Leasing visto que apresenta o all-in-cost mais baixo.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</si>
</sst>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3" formatCode="_-* #,##0.00\ _€_-;\-* #,##0.00\ _€_-;_-* &quot;-&quot;??\ _€_-;_-@_-"/>
    <numFmt numFmtId="164" formatCode="0.000"/>
    <numFmt numFmtId="165" formatCode="0.0%"/>
    <numFmt numFmtId="166" formatCode="_(* #,##0.00_);_(* \(#,##0.00\);_(* &quot;-&quot;??_);_(@_)"/>
    <numFmt numFmtId="167" formatCode="_(* #,##0_);_(* \(#,##0\);_(* &quot;-&quot;??_);_(@_)"/>
    <numFmt numFmtId="168" formatCode="#,##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8"/>
      <color indexed="9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sz val="8"/>
      <color indexed="9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>
      <alignment vertical="center"/>
    </xf>
  </cellStyleXfs>
  <cellXfs count="87">
    <xf numFmtId="0" fontId="0" fillId="0" borderId="0" xfId="0"/>
    <xf numFmtId="3" fontId="0" fillId="0" borderId="0" xfId="0" applyNumberFormat="1" applyFill="1"/>
    <xf numFmtId="0" fontId="0" fillId="0" borderId="0" xfId="0" applyFont="1"/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9" fontId="0" fillId="0" borderId="0" xfId="0" applyNumberFormat="1"/>
    <xf numFmtId="0" fontId="6" fillId="2" borderId="0" xfId="0" applyFont="1" applyFill="1"/>
    <xf numFmtId="3" fontId="7" fillId="0" borderId="1" xfId="0" applyNumberFormat="1" applyFont="1" applyFill="1" applyBorder="1"/>
    <xf numFmtId="0" fontId="7" fillId="0" borderId="0" xfId="0" applyFont="1"/>
    <xf numFmtId="9" fontId="7" fillId="0" borderId="2" xfId="0" applyNumberFormat="1" applyFont="1" applyFill="1" applyBorder="1"/>
    <xf numFmtId="0" fontId="7" fillId="0" borderId="2" xfId="0" applyFont="1" applyFill="1" applyBorder="1"/>
    <xf numFmtId="9" fontId="8" fillId="0" borderId="2" xfId="0" applyNumberFormat="1" applyFont="1" applyFill="1" applyBorder="1"/>
    <xf numFmtId="10" fontId="7" fillId="0" borderId="2" xfId="0" applyNumberFormat="1" applyFont="1" applyBorder="1"/>
    <xf numFmtId="10" fontId="7" fillId="0" borderId="2" xfId="0" applyNumberFormat="1" applyFont="1" applyFill="1" applyBorder="1"/>
    <xf numFmtId="0" fontId="7" fillId="0" borderId="2" xfId="0" applyNumberFormat="1" applyFont="1" applyFill="1" applyBorder="1"/>
    <xf numFmtId="9" fontId="7" fillId="0" borderId="3" xfId="0" applyNumberFormat="1" applyFont="1" applyFill="1" applyBorder="1"/>
    <xf numFmtId="0" fontId="9" fillId="0" borderId="0" xfId="0" applyFont="1" applyFill="1"/>
    <xf numFmtId="3" fontId="7" fillId="0" borderId="0" xfId="0" applyNumberFormat="1" applyFont="1" applyFill="1"/>
    <xf numFmtId="167" fontId="10" fillId="3" borderId="4" xfId="3" applyNumberFormat="1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/>
    </xf>
    <xf numFmtId="0" fontId="10" fillId="3" borderId="1" xfId="3" applyNumberFormat="1" applyFont="1" applyFill="1" applyBorder="1" applyAlignment="1">
      <alignment horizontal="center" vertical="center"/>
    </xf>
    <xf numFmtId="167" fontId="10" fillId="3" borderId="1" xfId="3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7" fillId="0" borderId="2" xfId="0" applyNumberFormat="1" applyFont="1" applyFill="1" applyBorder="1"/>
    <xf numFmtId="0" fontId="8" fillId="0" borderId="5" xfId="0" applyFont="1" applyFill="1" applyBorder="1" applyAlignment="1">
      <alignment horizontal="left"/>
    </xf>
    <xf numFmtId="3" fontId="7" fillId="0" borderId="3" xfId="0" applyNumberFormat="1" applyFont="1" applyFill="1" applyBorder="1"/>
    <xf numFmtId="0" fontId="0" fillId="0" borderId="3" xfId="0" applyBorder="1" applyAlignment="1">
      <alignment horizontal="center"/>
    </xf>
    <xf numFmtId="4" fontId="7" fillId="0" borderId="2" xfId="0" applyNumberFormat="1" applyFont="1" applyFill="1" applyBorder="1"/>
    <xf numFmtId="4" fontId="7" fillId="0" borderId="2" xfId="0" applyNumberFormat="1" applyFont="1" applyBorder="1"/>
    <xf numFmtId="0" fontId="8" fillId="0" borderId="5" xfId="0" applyFont="1" applyBorder="1" applyAlignment="1">
      <alignment horizontal="left"/>
    </xf>
    <xf numFmtId="0" fontId="6" fillId="2" borderId="5" xfId="0" applyFont="1" applyFill="1" applyBorder="1"/>
    <xf numFmtId="0" fontId="6" fillId="0" borderId="0" xfId="0" applyFont="1" applyFill="1"/>
    <xf numFmtId="0" fontId="8" fillId="0" borderId="0" xfId="0" applyFont="1" applyFill="1"/>
    <xf numFmtId="0" fontId="8" fillId="0" borderId="2" xfId="0" applyFont="1" applyFill="1" applyBorder="1"/>
    <xf numFmtId="10" fontId="7" fillId="0" borderId="3" xfId="0" applyNumberFormat="1" applyFont="1" applyFill="1" applyBorder="1"/>
    <xf numFmtId="0" fontId="6" fillId="2" borderId="6" xfId="0" applyFont="1" applyFill="1" applyBorder="1"/>
    <xf numFmtId="3" fontId="7" fillId="0" borderId="2" xfId="0" applyNumberFormat="1" applyFont="1" applyBorder="1"/>
    <xf numFmtId="3" fontId="7" fillId="0" borderId="10" xfId="0" applyNumberFormat="1" applyFont="1" applyBorder="1"/>
    <xf numFmtId="0" fontId="10" fillId="3" borderId="10" xfId="4" applyFont="1" applyFill="1" applyBorder="1" applyAlignment="1">
      <alignment horizontal="center" vertical="center"/>
    </xf>
    <xf numFmtId="0" fontId="10" fillId="3" borderId="10" xfId="3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1" fontId="8" fillId="0" borderId="2" xfId="0" applyNumberFormat="1" applyFont="1" applyFill="1" applyBorder="1"/>
    <xf numFmtId="165" fontId="7" fillId="0" borderId="8" xfId="0" applyNumberFormat="1" applyFont="1" applyFill="1" applyBorder="1"/>
    <xf numFmtId="164" fontId="7" fillId="0" borderId="8" xfId="0" applyNumberFormat="1" applyFont="1" applyFill="1" applyBorder="1"/>
    <xf numFmtId="1" fontId="7" fillId="0" borderId="7" xfId="0" applyNumberFormat="1" applyFont="1" applyFill="1" applyBorder="1"/>
    <xf numFmtId="4" fontId="7" fillId="0" borderId="9" xfId="0" applyNumberFormat="1" applyFont="1" applyFill="1" applyBorder="1"/>
    <xf numFmtId="4" fontId="6" fillId="0" borderId="2" xfId="0" applyNumberFormat="1" applyFont="1" applyFill="1" applyBorder="1" applyAlignment="1">
      <alignment horizontal="center"/>
    </xf>
    <xf numFmtId="4" fontId="0" fillId="0" borderId="0" xfId="0" applyNumberFormat="1"/>
    <xf numFmtId="4" fontId="7" fillId="0" borderId="10" xfId="0" applyNumberFormat="1" applyFont="1" applyBorder="1"/>
    <xf numFmtId="167" fontId="11" fillId="3" borderId="0" xfId="3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2" fontId="13" fillId="2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0" fillId="0" borderId="0" xfId="0" applyFill="1"/>
    <xf numFmtId="4" fontId="0" fillId="0" borderId="0" xfId="0" applyNumberFormat="1" applyFill="1"/>
    <xf numFmtId="4" fontId="7" fillId="0" borderId="11" xfId="0" applyNumberFormat="1" applyFont="1" applyFill="1" applyBorder="1"/>
    <xf numFmtId="4" fontId="7" fillId="0" borderId="3" xfId="0" applyNumberFormat="1" applyFont="1" applyBorder="1"/>
    <xf numFmtId="0" fontId="6" fillId="2" borderId="10" xfId="0" applyFont="1" applyFill="1" applyBorder="1"/>
    <xf numFmtId="10" fontId="7" fillId="0" borderId="10" xfId="0" applyNumberFormat="1" applyFont="1" applyBorder="1"/>
    <xf numFmtId="2" fontId="7" fillId="0" borderId="10" xfId="0" applyNumberFormat="1" applyFont="1" applyBorder="1"/>
    <xf numFmtId="1" fontId="7" fillId="0" borderId="10" xfId="0" applyNumberFormat="1" applyFont="1" applyBorder="1"/>
    <xf numFmtId="10" fontId="0" fillId="0" borderId="10" xfId="0" applyNumberFormat="1" applyBorder="1"/>
    <xf numFmtId="3" fontId="0" fillId="0" borderId="10" xfId="0" applyNumberFormat="1" applyBorder="1"/>
    <xf numFmtId="10" fontId="7" fillId="0" borderId="10" xfId="0" applyNumberFormat="1" applyFont="1" applyFill="1" applyBorder="1"/>
    <xf numFmtId="168" fontId="8" fillId="0" borderId="1" xfId="0" applyNumberFormat="1" applyFont="1" applyFill="1" applyBorder="1" applyAlignment="1"/>
    <xf numFmtId="3" fontId="8" fillId="0" borderId="2" xfId="0" applyNumberFormat="1" applyFont="1" applyFill="1" applyBorder="1" applyAlignment="1"/>
    <xf numFmtId="0" fontId="8" fillId="0" borderId="2" xfId="0" applyFont="1" applyFill="1" applyBorder="1" applyAlignment="1"/>
    <xf numFmtId="4" fontId="7" fillId="0" borderId="10" xfId="0" applyNumberFormat="1" applyFont="1" applyBorder="1" applyAlignment="1"/>
    <xf numFmtId="4" fontId="7" fillId="0" borderId="1" xfId="0" applyNumberFormat="1" applyFont="1" applyBorder="1"/>
    <xf numFmtId="4" fontId="8" fillId="0" borderId="1" xfId="0" applyNumberFormat="1" applyFont="1" applyFill="1" applyBorder="1" applyAlignment="1"/>
    <xf numFmtId="4" fontId="6" fillId="0" borderId="1" xfId="0" applyNumberFormat="1" applyFont="1" applyFill="1" applyBorder="1" applyAlignment="1"/>
    <xf numFmtId="4" fontId="7" fillId="0" borderId="2" xfId="0" applyNumberFormat="1" applyFont="1" applyFill="1" applyBorder="1" applyAlignment="1"/>
    <xf numFmtId="4" fontId="7" fillId="0" borderId="2" xfId="0" applyNumberFormat="1" applyFont="1" applyBorder="1" applyAlignment="1"/>
    <xf numFmtId="9" fontId="7" fillId="0" borderId="2" xfId="2" applyFont="1" applyFill="1" applyBorder="1"/>
    <xf numFmtId="0" fontId="7" fillId="0" borderId="2" xfId="1" applyNumberFormat="1" applyFont="1" applyFill="1" applyBorder="1"/>
    <xf numFmtId="3" fontId="8" fillId="0" borderId="2" xfId="0" applyNumberFormat="1" applyFont="1" applyFill="1" applyBorder="1"/>
    <xf numFmtId="9" fontId="7" fillId="0" borderId="3" xfId="0" applyNumberFormat="1" applyFont="1" applyBorder="1"/>
    <xf numFmtId="1" fontId="7" fillId="0" borderId="1" xfId="0" applyNumberFormat="1" applyFont="1" applyFill="1" applyBorder="1"/>
    <xf numFmtId="165" fontId="7" fillId="0" borderId="2" xfId="0" applyNumberFormat="1" applyFont="1" applyFill="1" applyBorder="1"/>
    <xf numFmtId="164" fontId="7" fillId="0" borderId="2" xfId="0" applyNumberFormat="1" applyFont="1" applyFill="1" applyBorder="1"/>
    <xf numFmtId="0" fontId="6" fillId="2" borderId="0" xfId="0" applyFont="1" applyFill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Alignment="1">
      <alignment horizontal="left"/>
    </xf>
  </cellXfs>
  <cellStyles count="5">
    <cellStyle name="Normal" xfId="0" builtinId="0"/>
    <cellStyle name="Normal 2" xfId="4"/>
    <cellStyle name="Percentagem" xfId="2" builtinId="5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C18" sqref="C18"/>
    </sheetView>
  </sheetViews>
  <sheetFormatPr defaultRowHeight="15" x14ac:dyDescent="0.25"/>
  <cols>
    <col min="1" max="1" width="22.28515625" bestFit="1" customWidth="1"/>
    <col min="2" max="2" width="34.140625" bestFit="1" customWidth="1"/>
  </cols>
  <sheetData>
    <row r="1" spans="1:2" x14ac:dyDescent="0.25">
      <c r="A1" s="52" t="s">
        <v>73</v>
      </c>
      <c r="B1" s="53" t="s">
        <v>74</v>
      </c>
    </row>
    <row r="2" spans="1:2" x14ac:dyDescent="0.25">
      <c r="A2" s="53"/>
      <c r="B2" s="53"/>
    </row>
    <row r="3" spans="1:2" x14ac:dyDescent="0.25">
      <c r="A3" s="54" t="s">
        <v>75</v>
      </c>
      <c r="B3" s="54"/>
    </row>
    <row r="4" spans="1:2" x14ac:dyDescent="0.25">
      <c r="A4" s="52" t="s">
        <v>76</v>
      </c>
      <c r="B4" s="55" t="s">
        <v>77</v>
      </c>
    </row>
    <row r="5" spans="1:2" x14ac:dyDescent="0.25">
      <c r="A5" s="53">
        <v>54613</v>
      </c>
      <c r="B5" s="53" t="s">
        <v>78</v>
      </c>
    </row>
    <row r="6" spans="1:2" x14ac:dyDescent="0.25">
      <c r="A6" s="53">
        <v>54592</v>
      </c>
      <c r="B6" s="53" t="s">
        <v>79</v>
      </c>
    </row>
    <row r="7" spans="1:2" x14ac:dyDescent="0.25">
      <c r="A7" s="53">
        <v>54533</v>
      </c>
      <c r="B7" s="53" t="s">
        <v>80</v>
      </c>
    </row>
    <row r="8" spans="1:2" x14ac:dyDescent="0.25">
      <c r="A8" s="53">
        <v>54459</v>
      </c>
      <c r="B8" s="53" t="s">
        <v>81</v>
      </c>
    </row>
    <row r="9" spans="1:2" x14ac:dyDescent="0.25">
      <c r="A9" s="53">
        <v>54547</v>
      </c>
      <c r="B9" s="53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16" zoomScaleNormal="100" workbookViewId="0">
      <selection activeCell="E32" sqref="E32"/>
    </sheetView>
  </sheetViews>
  <sheetFormatPr defaultRowHeight="15" x14ac:dyDescent="0.25"/>
  <cols>
    <col min="1" max="1" width="41.85546875" bestFit="1" customWidth="1"/>
    <col min="2" max="2" width="13.28515625" bestFit="1" customWidth="1"/>
    <col min="3" max="5" width="10.28515625" bestFit="1" customWidth="1"/>
    <col min="6" max="13" width="10.140625" bestFit="1" customWidth="1"/>
    <col min="14" max="14" width="12.140625" bestFit="1" customWidth="1"/>
    <col min="15" max="17" width="10.140625" bestFit="1" customWidth="1"/>
    <col min="18" max="18" width="9.85546875" bestFit="1" customWidth="1"/>
    <col min="19" max="19" width="10.85546875" bestFit="1" customWidth="1"/>
  </cols>
  <sheetData>
    <row r="1" spans="1:22" x14ac:dyDescent="0.25">
      <c r="A1" s="7" t="s">
        <v>0</v>
      </c>
      <c r="B1" s="8">
        <v>900000</v>
      </c>
      <c r="D1" s="7" t="s">
        <v>6</v>
      </c>
      <c r="E1" s="47">
        <f>B3*4-B6</f>
        <v>12</v>
      </c>
    </row>
    <row r="2" spans="1:22" x14ac:dyDescent="0.25">
      <c r="A2" s="7" t="s">
        <v>60</v>
      </c>
      <c r="B2" s="10">
        <v>0.06</v>
      </c>
      <c r="D2" s="7" t="s">
        <v>7</v>
      </c>
      <c r="E2" s="45">
        <f>B2/4</f>
        <v>1.4999999999999999E-2</v>
      </c>
    </row>
    <row r="3" spans="1:22" x14ac:dyDescent="0.25">
      <c r="A3" s="7" t="s">
        <v>34</v>
      </c>
      <c r="B3" s="11">
        <v>4</v>
      </c>
      <c r="D3" s="7" t="s">
        <v>8</v>
      </c>
      <c r="E3" s="46">
        <f>(1-(1+E2)^-E1)/E2</f>
        <v>10.907505206973561</v>
      </c>
    </row>
    <row r="4" spans="1:22" x14ac:dyDescent="0.25">
      <c r="A4" s="7" t="s">
        <v>3</v>
      </c>
      <c r="B4" s="12" t="s">
        <v>26</v>
      </c>
      <c r="D4" s="7" t="s">
        <v>4</v>
      </c>
      <c r="E4" s="48">
        <f>B1*(1+E2)^B6/E3</f>
        <v>87575.222513007684</v>
      </c>
    </row>
    <row r="5" spans="1:22" x14ac:dyDescent="0.25">
      <c r="A5" s="7" t="s">
        <v>4</v>
      </c>
      <c r="B5" s="12" t="s">
        <v>5</v>
      </c>
    </row>
    <row r="6" spans="1:22" x14ac:dyDescent="0.25">
      <c r="A6" s="7" t="s">
        <v>62</v>
      </c>
      <c r="B6" s="44">
        <v>4</v>
      </c>
    </row>
    <row r="7" spans="1:22" x14ac:dyDescent="0.25">
      <c r="A7" s="7" t="s">
        <v>61</v>
      </c>
      <c r="B7" s="13">
        <v>4.0000000000000001E-3</v>
      </c>
    </row>
    <row r="8" spans="1:22" x14ac:dyDescent="0.25">
      <c r="A8" s="7" t="s">
        <v>37</v>
      </c>
      <c r="B8" s="10">
        <v>0.04</v>
      </c>
    </row>
    <row r="9" spans="1:22" x14ac:dyDescent="0.25">
      <c r="A9" s="7" t="s">
        <v>38</v>
      </c>
      <c r="B9" s="14">
        <v>5.0000000000000001E-3</v>
      </c>
    </row>
    <row r="10" spans="1:22" x14ac:dyDescent="0.25">
      <c r="A10" s="7" t="s">
        <v>20</v>
      </c>
      <c r="B10" s="16">
        <v>0.3</v>
      </c>
    </row>
    <row r="12" spans="1:22" x14ac:dyDescent="0.25">
      <c r="A12" s="83" t="s">
        <v>11</v>
      </c>
      <c r="B12" s="83"/>
      <c r="C12" s="83"/>
      <c r="S12" s="56"/>
      <c r="T12" s="56"/>
      <c r="U12" s="56"/>
      <c r="V12" s="56"/>
    </row>
    <row r="13" spans="1:22" x14ac:dyDescent="0.25">
      <c r="A13" s="19"/>
      <c r="B13" s="41">
        <v>0</v>
      </c>
      <c r="C13" s="41">
        <v>1</v>
      </c>
      <c r="D13" s="41">
        <v>2</v>
      </c>
      <c r="E13" s="41">
        <v>3</v>
      </c>
      <c r="F13" s="42">
        <v>4</v>
      </c>
      <c r="G13" s="41">
        <v>5</v>
      </c>
      <c r="H13" s="41">
        <v>6</v>
      </c>
      <c r="I13" s="42">
        <v>7</v>
      </c>
      <c r="J13" s="41">
        <v>8</v>
      </c>
      <c r="K13" s="41">
        <v>9</v>
      </c>
      <c r="L13" s="42">
        <v>10</v>
      </c>
      <c r="M13" s="41">
        <v>11</v>
      </c>
      <c r="N13" s="41">
        <v>12</v>
      </c>
      <c r="O13" s="42">
        <v>13</v>
      </c>
      <c r="P13" s="41">
        <v>14</v>
      </c>
      <c r="Q13" s="41">
        <v>15</v>
      </c>
      <c r="R13" s="42">
        <v>16</v>
      </c>
      <c r="S13" s="56"/>
      <c r="T13" s="56"/>
      <c r="U13" s="56"/>
      <c r="V13" s="56"/>
    </row>
    <row r="14" spans="1:22" x14ac:dyDescent="0.25">
      <c r="A14" s="23" t="s">
        <v>44</v>
      </c>
      <c r="B14" s="31">
        <f>B1</f>
        <v>900000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57"/>
      <c r="T14" s="56"/>
      <c r="U14" s="56"/>
      <c r="V14" s="56"/>
    </row>
    <row r="15" spans="1:22" x14ac:dyDescent="0.25">
      <c r="A15" s="23" t="s">
        <v>45</v>
      </c>
      <c r="B15" s="30"/>
      <c r="C15" s="30">
        <f>B1</f>
        <v>900000</v>
      </c>
      <c r="D15" s="30">
        <f>C$15-C$16</f>
        <v>913500</v>
      </c>
      <c r="E15" s="30">
        <f>D$15-D$16</f>
        <v>927202.5</v>
      </c>
      <c r="F15" s="30">
        <f>E$15-E$16</f>
        <v>941110.53749999998</v>
      </c>
      <c r="G15" s="30">
        <f>F$15-F$16</f>
        <v>955227.19556249992</v>
      </c>
      <c r="H15" s="30">
        <f>G$15-G$16</f>
        <v>881980.38098292972</v>
      </c>
      <c r="I15" s="30">
        <f>H$15-H$16</f>
        <v>807634.86418466596</v>
      </c>
      <c r="J15" s="30">
        <f>I$15-I$16</f>
        <v>732174.16463442822</v>
      </c>
      <c r="K15" s="30">
        <f>J$15-J$16</f>
        <v>655581.55459093698</v>
      </c>
      <c r="L15" s="30">
        <f>K$15-K$16</f>
        <v>577840.05539679341</v>
      </c>
      <c r="M15" s="30">
        <f>L$15-L$16</f>
        <v>498932.43371473765</v>
      </c>
      <c r="N15" s="30">
        <f>M$15-M$16</f>
        <v>418841.19770745107</v>
      </c>
      <c r="O15" s="30">
        <f>N$15-N$16</f>
        <v>337548.59316005511</v>
      </c>
      <c r="P15" s="30">
        <f>O$15-O$16</f>
        <v>255036.59954444825</v>
      </c>
      <c r="Q15" s="30">
        <f>P$15-P$16</f>
        <v>171286.9260246073</v>
      </c>
      <c r="R15" s="30">
        <f>Q$15-Q$16</f>
        <v>86281.007401968716</v>
      </c>
      <c r="S15" s="58"/>
      <c r="T15" s="84"/>
      <c r="U15" s="84"/>
      <c r="V15" s="84"/>
    </row>
    <row r="16" spans="1:22" x14ac:dyDescent="0.25">
      <c r="A16" s="23" t="s">
        <v>46</v>
      </c>
      <c r="B16" s="30"/>
      <c r="C16" s="30">
        <f>C$18-C$17</f>
        <v>-13500</v>
      </c>
      <c r="D16" s="30">
        <f>D$18-D$17</f>
        <v>-13702.5</v>
      </c>
      <c r="E16" s="30">
        <f>E$18-E$17</f>
        <v>-13908.0375</v>
      </c>
      <c r="F16" s="30">
        <f>F$18-F$17</f>
        <v>-14116.658062499999</v>
      </c>
      <c r="G16" s="30">
        <f>G$18-G$17</f>
        <v>73246.814579570186</v>
      </c>
      <c r="H16" s="30">
        <f>H$18-H$17</f>
        <v>74345.516798263736</v>
      </c>
      <c r="I16" s="30">
        <f>I$18-I$17</f>
        <v>75460.699550237696</v>
      </c>
      <c r="J16" s="30">
        <f>J$18-J$17</f>
        <v>76592.610043491266</v>
      </c>
      <c r="K16" s="30">
        <f>K$18-K$17</f>
        <v>77741.499194143631</v>
      </c>
      <c r="L16" s="30">
        <f>L$18-L$17</f>
        <v>78907.621682055789</v>
      </c>
      <c r="M16" s="30">
        <f>M$18-M$17</f>
        <v>80091.236007286614</v>
      </c>
      <c r="N16" s="30">
        <f>N$18-N$17</f>
        <v>81292.604547395924</v>
      </c>
      <c r="O16" s="30">
        <f>O$18-O$17</f>
        <v>82511.993615606858</v>
      </c>
      <c r="P16" s="30">
        <f>P$18-P$17</f>
        <v>83749.673519840959</v>
      </c>
      <c r="Q16" s="30">
        <f>Q$18-Q$17</f>
        <v>85005.918622638579</v>
      </c>
      <c r="R16" s="30">
        <f>R$18-R$17</f>
        <v>86281.00740197816</v>
      </c>
      <c r="S16" s="57"/>
      <c r="T16" s="56"/>
      <c r="U16" s="56"/>
      <c r="V16" s="56"/>
    </row>
    <row r="17" spans="1:19" x14ac:dyDescent="0.25">
      <c r="A17" s="23" t="s">
        <v>47</v>
      </c>
      <c r="B17" s="30"/>
      <c r="C17" s="30">
        <f>C$15*$E$2</f>
        <v>13500</v>
      </c>
      <c r="D17" s="30">
        <f>D$15*$E$2</f>
        <v>13702.5</v>
      </c>
      <c r="E17" s="30">
        <f>E$15*$E$2</f>
        <v>13908.0375</v>
      </c>
      <c r="F17" s="30">
        <f>F$15*$E$2</f>
        <v>14116.658062499999</v>
      </c>
      <c r="G17" s="30">
        <f>G$15*$E$2</f>
        <v>14328.407933437498</v>
      </c>
      <c r="H17" s="30">
        <f>H$15*$E$2</f>
        <v>13229.705714743945</v>
      </c>
      <c r="I17" s="30">
        <f>I$15*$E$2</f>
        <v>12114.522962769988</v>
      </c>
      <c r="J17" s="30">
        <f>J$15*$E$2</f>
        <v>10982.612469516424</v>
      </c>
      <c r="K17" s="30">
        <f>K$15*$E$2</f>
        <v>9833.7233188640548</v>
      </c>
      <c r="L17" s="30">
        <f>L$15*$E$2</f>
        <v>8667.6008309519002</v>
      </c>
      <c r="M17" s="30">
        <f>M$15*$E$2</f>
        <v>7483.9865057210645</v>
      </c>
      <c r="N17" s="30">
        <f>N$15*$E$2</f>
        <v>6282.6179656117656</v>
      </c>
      <c r="O17" s="30">
        <f>O$15*$E$2</f>
        <v>5063.2288974008261</v>
      </c>
      <c r="P17" s="30">
        <f>P$15*$E$2</f>
        <v>3825.5489931667234</v>
      </c>
      <c r="Q17" s="30">
        <f>Q$15*$E$2</f>
        <v>2569.3038903691095</v>
      </c>
      <c r="R17" s="30">
        <f>R$15*$E$2</f>
        <v>1294.2151110295306</v>
      </c>
    </row>
    <row r="18" spans="1:19" x14ac:dyDescent="0.25">
      <c r="A18" s="23" t="s">
        <v>4</v>
      </c>
      <c r="B18" s="30"/>
      <c r="C18" s="30"/>
      <c r="D18" s="30"/>
      <c r="E18" s="30"/>
      <c r="F18" s="31"/>
      <c r="G18" s="31">
        <f>$E$4</f>
        <v>87575.222513007684</v>
      </c>
      <c r="H18" s="31">
        <f>$E$4</f>
        <v>87575.222513007684</v>
      </c>
      <c r="I18" s="31">
        <f>$E$4</f>
        <v>87575.222513007684</v>
      </c>
      <c r="J18" s="31">
        <f>$E$4</f>
        <v>87575.222513007684</v>
      </c>
      <c r="K18" s="31">
        <f>$E$4</f>
        <v>87575.222513007684</v>
      </c>
      <c r="L18" s="31">
        <f>$E$4</f>
        <v>87575.222513007684</v>
      </c>
      <c r="M18" s="31">
        <f>$E$4</f>
        <v>87575.222513007684</v>
      </c>
      <c r="N18" s="31">
        <f>$E$4</f>
        <v>87575.222513007684</v>
      </c>
      <c r="O18" s="31">
        <f>$E$4</f>
        <v>87575.222513007684</v>
      </c>
      <c r="P18" s="31">
        <f>$E$4</f>
        <v>87575.222513007684</v>
      </c>
      <c r="Q18" s="31">
        <f>$E$4</f>
        <v>87575.222513007684</v>
      </c>
      <c r="R18" s="31">
        <f>$E$4</f>
        <v>87575.222513007684</v>
      </c>
    </row>
    <row r="19" spans="1:19" x14ac:dyDescent="0.25">
      <c r="A19" s="23" t="s">
        <v>38</v>
      </c>
      <c r="B19" s="31">
        <f>B14*B9</f>
        <v>4500</v>
      </c>
      <c r="C19" s="31"/>
      <c r="D19" s="31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9" x14ac:dyDescent="0.25">
      <c r="A20" s="23" t="s">
        <v>63</v>
      </c>
      <c r="B20" s="31">
        <f>B14*B7</f>
        <v>3600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9" x14ac:dyDescent="0.25">
      <c r="A21" s="23" t="s">
        <v>64</v>
      </c>
      <c r="B21" s="30"/>
      <c r="C21" s="31">
        <f>C$17*$B$8</f>
        <v>540</v>
      </c>
      <c r="D21" s="31">
        <f>D$17*$B$8</f>
        <v>548.1</v>
      </c>
      <c r="E21" s="31">
        <f>E$17*$B$8</f>
        <v>556.32150000000001</v>
      </c>
      <c r="F21" s="31">
        <f>F$17*$B$8</f>
        <v>564.66632249999998</v>
      </c>
      <c r="G21" s="31">
        <f>G$17*$B$8</f>
        <v>573.13631733749992</v>
      </c>
      <c r="H21" s="31">
        <f>H$17*$B$8</f>
        <v>529.18822858975784</v>
      </c>
      <c r="I21" s="31">
        <f>I$17*$B$8</f>
        <v>484.58091851079956</v>
      </c>
      <c r="J21" s="31">
        <f>J$17*$B$8</f>
        <v>439.30449878065696</v>
      </c>
      <c r="K21" s="31">
        <f>K$17*$B$8</f>
        <v>393.34893275456221</v>
      </c>
      <c r="L21" s="31">
        <f>L$17*$B$8</f>
        <v>346.70403323807602</v>
      </c>
      <c r="M21" s="31">
        <f>M$17*$B$8</f>
        <v>299.35946022884258</v>
      </c>
      <c r="N21" s="31">
        <f>N$17*$B$8</f>
        <v>251.30471862447064</v>
      </c>
      <c r="O21" s="31">
        <f>O$17*$B$8</f>
        <v>202.52915589603305</v>
      </c>
      <c r="P21" s="31">
        <f>P$17*$B$8</f>
        <v>153.02195972666894</v>
      </c>
      <c r="Q21" s="31">
        <f>Q$17*$B$8</f>
        <v>102.77215561476439</v>
      </c>
      <c r="R21" s="31">
        <f>R$17*$B$8</f>
        <v>51.768604441181225</v>
      </c>
    </row>
    <row r="22" spans="1:19" x14ac:dyDescent="0.25">
      <c r="A22" s="23" t="s">
        <v>51</v>
      </c>
      <c r="B22" s="30">
        <f>B20*B8</f>
        <v>144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50"/>
    </row>
    <row r="23" spans="1:19" x14ac:dyDescent="0.25">
      <c r="A23" s="23" t="s">
        <v>70</v>
      </c>
      <c r="B23" s="30"/>
      <c r="C23" s="31"/>
      <c r="D23" s="31"/>
      <c r="E23" s="31"/>
      <c r="F23" s="31">
        <f>SUM(C17:F17)*$B$10</f>
        <v>16568.158668749998</v>
      </c>
      <c r="G23" s="31"/>
      <c r="H23" s="31"/>
      <c r="I23" s="31"/>
      <c r="J23" s="31">
        <f>SUM(G17:J17)*$B$10</f>
        <v>15196.574724140357</v>
      </c>
      <c r="K23" s="31"/>
      <c r="L23" s="31"/>
      <c r="M23" s="31"/>
      <c r="N23" s="31">
        <f>SUM(K17:N17)*$B$10</f>
        <v>9680.3785863446356</v>
      </c>
      <c r="O23" s="31"/>
      <c r="P23" s="31"/>
      <c r="Q23" s="31"/>
      <c r="R23" s="31">
        <f>SUM(O17:R17)*$B$10</f>
        <v>3825.6890675898571</v>
      </c>
      <c r="S23" s="50"/>
    </row>
    <row r="24" spans="1:19" x14ac:dyDescent="0.25">
      <c r="A24" s="23" t="s">
        <v>71</v>
      </c>
      <c r="B24" s="30"/>
      <c r="C24" s="31"/>
      <c r="D24" s="31"/>
      <c r="E24" s="31"/>
      <c r="F24" s="31">
        <f>($B$20+$B$22)*$B$10/4</f>
        <v>280.8</v>
      </c>
      <c r="G24" s="31"/>
      <c r="H24" s="31"/>
      <c r="I24" s="31"/>
      <c r="J24" s="31">
        <f>($B$20+$B$22)*$B$10/4</f>
        <v>280.8</v>
      </c>
      <c r="K24" s="31"/>
      <c r="L24" s="31"/>
      <c r="M24" s="31"/>
      <c r="N24" s="31">
        <f>($B$20+$B$22)*$B$10/4</f>
        <v>280.8</v>
      </c>
      <c r="O24" s="31"/>
      <c r="P24" s="31"/>
      <c r="Q24" s="31"/>
      <c r="R24" s="31">
        <f>($B$20+$B$22)*$B$10/4</f>
        <v>280.8</v>
      </c>
      <c r="S24" s="50"/>
    </row>
    <row r="25" spans="1:19" x14ac:dyDescent="0.25">
      <c r="A25" s="23" t="s">
        <v>72</v>
      </c>
      <c r="B25" s="31"/>
      <c r="C25" s="31"/>
      <c r="D25" s="31"/>
      <c r="E25" s="31"/>
      <c r="F25" s="31">
        <f>SUM(C21:F21)*$B$10</f>
        <v>662.72634674999983</v>
      </c>
      <c r="G25" s="31"/>
      <c r="H25" s="31"/>
      <c r="I25" s="31"/>
      <c r="J25" s="31">
        <f>SUM(G21:J21)*$B$10</f>
        <v>607.86298896561425</v>
      </c>
      <c r="K25" s="31"/>
      <c r="L25" s="31"/>
      <c r="M25" s="31"/>
      <c r="N25" s="31">
        <f>SUM(K21:N21)*$B$10</f>
        <v>387.21514345378552</v>
      </c>
      <c r="O25" s="31"/>
      <c r="P25" s="31"/>
      <c r="Q25" s="31"/>
      <c r="R25" s="31">
        <f>SUM(O21:R21)*$B$10</f>
        <v>153.02756270359427</v>
      </c>
      <c r="S25" s="50"/>
    </row>
    <row r="26" spans="1:19" x14ac:dyDescent="0.25">
      <c r="A26" s="23" t="s">
        <v>54</v>
      </c>
      <c r="B26" s="31"/>
      <c r="C26" s="31"/>
      <c r="D26" s="31"/>
      <c r="E26" s="31"/>
      <c r="F26" s="31">
        <f>($B$19/$B$3)*$B$10</f>
        <v>337.5</v>
      </c>
      <c r="G26" s="31"/>
      <c r="H26" s="31"/>
      <c r="I26" s="31"/>
      <c r="J26" s="31">
        <f>($B$19/$B$3)*$B$10</f>
        <v>337.5</v>
      </c>
      <c r="K26" s="31"/>
      <c r="L26" s="31"/>
      <c r="M26" s="31"/>
      <c r="N26" s="31">
        <f>($B$19/$B$3)*$B$10</f>
        <v>337.5</v>
      </c>
      <c r="O26" s="31"/>
      <c r="P26" s="31"/>
      <c r="Q26" s="31"/>
      <c r="R26" s="31">
        <f>($B$19/$B$3)*$B$10</f>
        <v>337.5</v>
      </c>
      <c r="S26" s="50"/>
    </row>
    <row r="27" spans="1:19" x14ac:dyDescent="0.25">
      <c r="A27" s="38" t="s">
        <v>31</v>
      </c>
      <c r="B27" s="51">
        <f>B14-B16-B17-B19-B20-B21-B22+B23+B24+B25+B26</f>
        <v>891756</v>
      </c>
      <c r="C27" s="51">
        <f>C14-C16-C17-C19-C20-C21-C22+C23+C24+C25+C26</f>
        <v>-540</v>
      </c>
      <c r="D27" s="51">
        <f>D14-D16-D17-D19-D20-D21-D22+D23+D24+D25+D26</f>
        <v>-548.1</v>
      </c>
      <c r="E27" s="51">
        <f>E14-E16-E17-E19-E20-E21-E22+E23+E24+E25+E26</f>
        <v>-556.32150000000001</v>
      </c>
      <c r="F27" s="51">
        <f>F14-F16-F17-F19-F20-F21-F22+F23+F24+F25+F26</f>
        <v>17284.518692999998</v>
      </c>
      <c r="G27" s="51">
        <f>G14-G16-G17-G19-G20-G21-G22+G23+G24+G25+G26</f>
        <v>-88148.358830345183</v>
      </c>
      <c r="H27" s="51">
        <f>H14-H16-H17-H19-H20-H21-H22+H23+H24+H25+H26</f>
        <v>-88104.410741597443</v>
      </c>
      <c r="I27" s="51">
        <f>I14-I16-I17-I19-I20-I21-I22+I23+I24+I25+I26</f>
        <v>-88059.803431518478</v>
      </c>
      <c r="J27" s="51">
        <f>J14-J16-J17-J19-J20-J21-J22+J23+J24+J25+J26</f>
        <v>-71591.789298682357</v>
      </c>
      <c r="K27" s="51">
        <f>K14-K16-K17-K19-K20-K21-K22+K23+K24+K25+K26</f>
        <v>-87968.571445762253</v>
      </c>
      <c r="L27" s="51">
        <f>L14-L16-L17-L19-L20-L21-L22+L23+L24+L25+L26</f>
        <v>-87921.926546245755</v>
      </c>
      <c r="M27" s="51">
        <f>M14-M16-M17-M19-M20-M21-M22+M23+M24+M25+M26</f>
        <v>-87874.58197323652</v>
      </c>
      <c r="N27" s="51">
        <f>N14-N16-N17-N19-N20-N21-N22+N23+N24+N25+N26</f>
        <v>-77140.633501833727</v>
      </c>
      <c r="O27" s="51">
        <f>O14-O16-O17-O19-O20-O21-O22+O23+O24+O25+O26</f>
        <v>-87777.751668903715</v>
      </c>
      <c r="P27" s="51">
        <f>P14-P16-P17-P19-P20-P21-P22+P23+P24+P25+P26</f>
        <v>-87728.244472734354</v>
      </c>
      <c r="Q27" s="51">
        <f>Q14-Q16-Q17-Q19-Q20-Q21-Q22+Q23+Q24+Q25+Q26</f>
        <v>-87677.994668622443</v>
      </c>
      <c r="R27" s="51">
        <f>R14-R16-R17-R19-R20-R21-R22+R23+R24+R25+R26</f>
        <v>-83029.974487155414</v>
      </c>
    </row>
    <row r="28" spans="1:19" x14ac:dyDescent="0.25">
      <c r="A28" s="38" t="s">
        <v>58</v>
      </c>
      <c r="B28" s="51">
        <f>B27/(1+$B$29)^(B13/4)</f>
        <v>891756</v>
      </c>
      <c r="C28" s="51">
        <f>C27/(1+$B$29)^(C13/4)</f>
        <v>-533.7799605415139</v>
      </c>
      <c r="D28" s="51">
        <f>D27/(1+$B$29)^(D13/4)</f>
        <v>-535.54604068488095</v>
      </c>
      <c r="E28" s="51">
        <f>E27/(1+$B$29)^(E13/4)</f>
        <v>-537.31796413317375</v>
      </c>
      <c r="F28" s="51">
        <f>F27/(1+$B$29)^(F13/4)</f>
        <v>16501.799736763431</v>
      </c>
      <c r="G28" s="51">
        <f>G27/(1+$B$29)^(G13/4)</f>
        <v>-83187.248146182741</v>
      </c>
      <c r="H28" s="51">
        <f>H27/(1+$B$29)^(H13/4)</f>
        <v>-82188.051308670721</v>
      </c>
      <c r="I28" s="51">
        <f>I27/(1+$B$29)^(I13/4)</f>
        <v>-81200.228167891444</v>
      </c>
      <c r="J28" s="51">
        <f>J27/(1+$B$29)^(J13/4)</f>
        <v>-65254.619286609312</v>
      </c>
      <c r="K28" s="51">
        <f>K27/(1+$B$29)^(K13/4)</f>
        <v>-79258.178658207369</v>
      </c>
      <c r="L28" s="51">
        <f>L27/(1+$B$29)^(L13/4)</f>
        <v>-78303.693894519674</v>
      </c>
      <c r="M28" s="51">
        <f>M27/(1+$B$29)^(M13/4)</f>
        <v>-77360.066003341097</v>
      </c>
      <c r="N28" s="51">
        <f>N27/(1+$B$29)^(N13/4)</f>
        <v>-67128.24081532289</v>
      </c>
      <c r="O28" s="51">
        <f>O27/(1+$B$29)^(O13/4)</f>
        <v>-75504.880240137383</v>
      </c>
      <c r="P28" s="51">
        <f>P27/(1+$B$29)^(P13/4)</f>
        <v>-74593.075662788164</v>
      </c>
      <c r="Q28" s="51">
        <f>Q27/(1+$B$29)^(Q13/4)</f>
        <v>-73691.63451421127</v>
      </c>
      <c r="R28" s="51">
        <f>R27/(1+$B$29)^(R13/4)</f>
        <v>-68981.239073524965</v>
      </c>
    </row>
    <row r="29" spans="1:19" x14ac:dyDescent="0.25">
      <c r="A29" s="60" t="s">
        <v>21</v>
      </c>
      <c r="B29" s="66">
        <v>4.743233881894654E-2</v>
      </c>
      <c r="C29" s="63">
        <f>SUM(B28:R28)</f>
        <v>-3.2741809263825417E-9</v>
      </c>
    </row>
    <row r="32" spans="1:19" x14ac:dyDescent="0.25">
      <c r="S32" s="50"/>
    </row>
  </sheetData>
  <mergeCells count="2">
    <mergeCell ref="A12:C12"/>
    <mergeCell ref="T15:V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0" workbookViewId="0">
      <selection activeCell="B29" sqref="B29"/>
    </sheetView>
  </sheetViews>
  <sheetFormatPr defaultRowHeight="15" x14ac:dyDescent="0.25"/>
  <cols>
    <col min="1" max="1" width="36.5703125" style="2" bestFit="1" customWidth="1"/>
    <col min="2" max="2" width="13.42578125" bestFit="1" customWidth="1"/>
    <col min="3" max="5" width="12.7109375" bestFit="1" customWidth="1"/>
    <col min="6" max="6" width="13.85546875" bestFit="1" customWidth="1"/>
  </cols>
  <sheetData>
    <row r="1" spans="1:9" x14ac:dyDescent="0.25">
      <c r="A1" s="7" t="s">
        <v>0</v>
      </c>
      <c r="B1" s="8">
        <v>1000000</v>
      </c>
    </row>
    <row r="2" spans="1:9" x14ac:dyDescent="0.25">
      <c r="A2" s="7" t="s">
        <v>1</v>
      </c>
      <c r="B2" s="10">
        <v>0.03</v>
      </c>
    </row>
    <row r="3" spans="1:9" x14ac:dyDescent="0.25">
      <c r="A3" s="7" t="s">
        <v>2</v>
      </c>
      <c r="B3" s="11">
        <v>4</v>
      </c>
      <c r="I3" s="4"/>
    </row>
    <row r="4" spans="1:9" x14ac:dyDescent="0.25">
      <c r="A4" s="7" t="s">
        <v>3</v>
      </c>
      <c r="B4" s="36" t="s">
        <v>9</v>
      </c>
      <c r="I4" s="4"/>
    </row>
    <row r="5" spans="1:9" x14ac:dyDescent="0.25">
      <c r="A5" s="7" t="s">
        <v>4</v>
      </c>
      <c r="B5" s="36" t="s">
        <v>5</v>
      </c>
      <c r="I5" s="4"/>
    </row>
    <row r="6" spans="1:9" x14ac:dyDescent="0.25">
      <c r="A6" s="7" t="s">
        <v>10</v>
      </c>
      <c r="B6" s="39">
        <v>30000</v>
      </c>
      <c r="I6" s="4"/>
    </row>
    <row r="7" spans="1:9" x14ac:dyDescent="0.25">
      <c r="A7" s="7" t="s">
        <v>22</v>
      </c>
      <c r="B7" s="26">
        <f>B1*90%</f>
        <v>900000</v>
      </c>
    </row>
    <row r="8" spans="1:9" x14ac:dyDescent="0.25">
      <c r="A8" s="7" t="s">
        <v>23</v>
      </c>
      <c r="B8" s="26">
        <f>B1*5%</f>
        <v>50000</v>
      </c>
    </row>
    <row r="9" spans="1:9" x14ac:dyDescent="0.25">
      <c r="A9" s="7" t="s">
        <v>24</v>
      </c>
      <c r="B9" s="26">
        <f>B1*10%</f>
        <v>100000</v>
      </c>
    </row>
    <row r="10" spans="1:9" x14ac:dyDescent="0.25">
      <c r="A10" s="7" t="s">
        <v>20</v>
      </c>
      <c r="B10" s="37">
        <v>0.3</v>
      </c>
    </row>
    <row r="11" spans="1:9" ht="14.45" x14ac:dyDescent="0.3">
      <c r="A11" s="3"/>
      <c r="B11" s="1"/>
    </row>
    <row r="12" spans="1:9" x14ac:dyDescent="0.25">
      <c r="A12" s="4"/>
    </row>
    <row r="13" spans="1:9" x14ac:dyDescent="0.25">
      <c r="A13" s="83" t="s">
        <v>11</v>
      </c>
      <c r="B13" s="83"/>
      <c r="C13" s="83"/>
    </row>
    <row r="14" spans="1:9" x14ac:dyDescent="0.25">
      <c r="A14" s="19"/>
      <c r="B14" s="20">
        <v>0</v>
      </c>
      <c r="C14" s="20">
        <v>1</v>
      </c>
      <c r="D14" s="20">
        <v>2</v>
      </c>
      <c r="E14" s="20">
        <v>3</v>
      </c>
      <c r="F14" s="21">
        <v>4</v>
      </c>
      <c r="G14" s="5"/>
      <c r="H14" s="5"/>
    </row>
    <row r="15" spans="1:9" x14ac:dyDescent="0.25">
      <c r="A15" s="23" t="s">
        <v>12</v>
      </c>
      <c r="B15" s="72">
        <f>B1</f>
        <v>1000000</v>
      </c>
      <c r="C15" s="73"/>
      <c r="D15" s="73"/>
      <c r="E15" s="73"/>
      <c r="F15" s="73"/>
      <c r="G15" s="5"/>
      <c r="H15" s="5"/>
    </row>
    <row r="16" spans="1:9" x14ac:dyDescent="0.25">
      <c r="A16" s="23" t="s">
        <v>14</v>
      </c>
      <c r="B16" s="74"/>
      <c r="C16" s="74">
        <f>$B$15</f>
        <v>1000000</v>
      </c>
      <c r="D16" s="74">
        <f>$B$15</f>
        <v>1000000</v>
      </c>
      <c r="E16" s="74">
        <f>$B$15</f>
        <v>1000000</v>
      </c>
      <c r="F16" s="74">
        <f>$B$15</f>
        <v>1000000</v>
      </c>
    </row>
    <row r="17" spans="1:6" x14ac:dyDescent="0.25">
      <c r="A17" s="23" t="s">
        <v>13</v>
      </c>
      <c r="B17" s="74"/>
      <c r="C17" s="74"/>
      <c r="D17" s="74"/>
      <c r="E17" s="74"/>
      <c r="F17" s="75">
        <f>B15</f>
        <v>1000000</v>
      </c>
    </row>
    <row r="18" spans="1:6" x14ac:dyDescent="0.25">
      <c r="A18" s="23" t="s">
        <v>15</v>
      </c>
      <c r="B18" s="74"/>
      <c r="C18" s="74">
        <f>C16*$B$2</f>
        <v>30000</v>
      </c>
      <c r="D18" s="74">
        <f t="shared" ref="D18:F18" si="0">D16*$B$2</f>
        <v>30000</v>
      </c>
      <c r="E18" s="74">
        <f t="shared" si="0"/>
        <v>30000</v>
      </c>
      <c r="F18" s="74">
        <f t="shared" si="0"/>
        <v>30000</v>
      </c>
    </row>
    <row r="19" spans="1:6" x14ac:dyDescent="0.25">
      <c r="A19" s="23" t="s">
        <v>16</v>
      </c>
      <c r="B19" s="74"/>
      <c r="C19" s="74"/>
      <c r="D19" s="74"/>
      <c r="E19" s="74"/>
      <c r="F19" s="75">
        <f>B8</f>
        <v>50000</v>
      </c>
    </row>
    <row r="20" spans="1:6" x14ac:dyDescent="0.25">
      <c r="A20" s="23" t="s">
        <v>17</v>
      </c>
      <c r="B20" s="75">
        <f>B9</f>
        <v>100000</v>
      </c>
      <c r="C20" s="75"/>
      <c r="D20" s="75"/>
      <c r="E20" s="74"/>
      <c r="F20" s="75"/>
    </row>
    <row r="21" spans="1:6" x14ac:dyDescent="0.25">
      <c r="A21" s="23" t="s">
        <v>18</v>
      </c>
      <c r="B21" s="75">
        <f>B6</f>
        <v>30000</v>
      </c>
      <c r="C21" s="75"/>
      <c r="D21" s="75"/>
      <c r="E21" s="75"/>
      <c r="F21" s="75"/>
    </row>
    <row r="22" spans="1:6" x14ac:dyDescent="0.25">
      <c r="A22" s="23" t="s">
        <v>68</v>
      </c>
      <c r="B22" s="74"/>
      <c r="C22" s="75">
        <f>C18*$B$10</f>
        <v>9000</v>
      </c>
      <c r="D22" s="75">
        <f>D18*$B$10</f>
        <v>9000</v>
      </c>
      <c r="E22" s="75">
        <f>E18*$B$10</f>
        <v>9000</v>
      </c>
      <c r="F22" s="75">
        <f>F18*$B$10</f>
        <v>9000</v>
      </c>
    </row>
    <row r="23" spans="1:6" x14ac:dyDescent="0.25">
      <c r="A23" s="23" t="s">
        <v>65</v>
      </c>
      <c r="B23" s="74"/>
      <c r="C23" s="75">
        <f>$B$21/$B$3*$B$10</f>
        <v>2250</v>
      </c>
      <c r="D23" s="75">
        <f t="shared" ref="D23:F23" si="1">$B$21/$B$3*$B$10</f>
        <v>2250</v>
      </c>
      <c r="E23" s="75">
        <f t="shared" si="1"/>
        <v>2250</v>
      </c>
      <c r="F23" s="75">
        <f t="shared" si="1"/>
        <v>2250</v>
      </c>
    </row>
    <row r="24" spans="1:6" x14ac:dyDescent="0.25">
      <c r="A24" s="23" t="s">
        <v>66</v>
      </c>
      <c r="B24" s="74"/>
      <c r="C24" s="75">
        <f>$B$20/$B$3*$B$10</f>
        <v>7500</v>
      </c>
      <c r="D24" s="75">
        <f t="shared" ref="D24:F24" si="2">$B$20/$B$3*$B$10</f>
        <v>7500</v>
      </c>
      <c r="E24" s="75">
        <f t="shared" si="2"/>
        <v>7500</v>
      </c>
      <c r="F24" s="75">
        <f t="shared" si="2"/>
        <v>7500</v>
      </c>
    </row>
    <row r="25" spans="1:6" x14ac:dyDescent="0.25">
      <c r="A25" s="23" t="s">
        <v>67</v>
      </c>
      <c r="B25" s="74"/>
      <c r="C25" s="75">
        <f>$F$19/$B$3*$B$10</f>
        <v>3750</v>
      </c>
      <c r="D25" s="75">
        <f t="shared" ref="D25:F25" si="3">$F$19/$B$3*$B$10</f>
        <v>3750</v>
      </c>
      <c r="E25" s="75">
        <f t="shared" si="3"/>
        <v>3750</v>
      </c>
      <c r="F25" s="75">
        <f t="shared" si="3"/>
        <v>3750</v>
      </c>
    </row>
    <row r="26" spans="1:6" x14ac:dyDescent="0.25">
      <c r="B26" s="75"/>
      <c r="C26" s="75"/>
      <c r="D26" s="75"/>
      <c r="E26" s="75"/>
      <c r="F26" s="75"/>
    </row>
    <row r="27" spans="1:6" x14ac:dyDescent="0.25">
      <c r="A27" s="38" t="s">
        <v>19</v>
      </c>
      <c r="B27" s="70">
        <f>B15-B17-B18-B19-B20-B21+B22+B23+B24+B25</f>
        <v>870000</v>
      </c>
      <c r="C27" s="70">
        <f>C15-C17-C18-C19-C20-C21+C22+C23+C24+C25</f>
        <v>-7500</v>
      </c>
      <c r="D27" s="70">
        <f>D15-D17-D18-D19-D20-D21+D22+D23+D24+D25</f>
        <v>-7500</v>
      </c>
      <c r="E27" s="70">
        <f>E15-E17-E18-E19-E20-E21+E22+E23+E24+E25</f>
        <v>-7500</v>
      </c>
      <c r="F27" s="70">
        <f>F15-F17-F18-F19-F20-F21+F22+F23+F24+F25</f>
        <v>-1057500</v>
      </c>
    </row>
    <row r="28" spans="1:6" x14ac:dyDescent="0.25">
      <c r="A28" s="34"/>
    </row>
    <row r="29" spans="1:6" x14ac:dyDescent="0.25">
      <c r="A29" s="60" t="s">
        <v>21</v>
      </c>
      <c r="B29" s="64">
        <v>5.6184114092800615E-2</v>
      </c>
      <c r="C29" s="65">
        <f>B27+(C27/(1+B29)^C14)+(D27/(1+B29)^D14)+(E27/(1+B29)^E14)+(F27/(1+B29)^F14)</f>
        <v>-8.0815516412258148E-7</v>
      </c>
    </row>
    <row r="30" spans="1:6" x14ac:dyDescent="0.25">
      <c r="A30" s="34"/>
    </row>
  </sheetData>
  <mergeCells count="1">
    <mergeCell ref="A13:C1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="115" zoomScaleNormal="115" workbookViewId="0">
      <selection activeCell="B37" sqref="B37"/>
    </sheetView>
  </sheetViews>
  <sheetFormatPr defaultRowHeight="15" x14ac:dyDescent="0.25"/>
  <cols>
    <col min="1" max="1" width="29" customWidth="1"/>
    <col min="2" max="2" width="9.5703125" customWidth="1"/>
    <col min="3" max="3" width="10.5703125" customWidth="1"/>
    <col min="4" max="4" width="10.140625" customWidth="1"/>
    <col min="5" max="6" width="10.28515625" customWidth="1"/>
    <col min="7" max="7" width="7.5703125" customWidth="1"/>
  </cols>
  <sheetData>
    <row r="1" spans="1:7" x14ac:dyDescent="0.25">
      <c r="A1" s="7" t="s">
        <v>0</v>
      </c>
      <c r="B1" s="8">
        <v>1080000</v>
      </c>
      <c r="C1" s="9"/>
      <c r="D1" s="9"/>
      <c r="E1" s="9"/>
      <c r="F1" s="9"/>
    </row>
    <row r="2" spans="1:7" x14ac:dyDescent="0.25">
      <c r="A2" s="7" t="s">
        <v>1</v>
      </c>
      <c r="B2" s="10">
        <v>7.0000000000000007E-2</v>
      </c>
      <c r="C2" s="9"/>
      <c r="D2" s="9"/>
      <c r="E2" s="9"/>
      <c r="F2" s="9"/>
    </row>
    <row r="3" spans="1:7" x14ac:dyDescent="0.25">
      <c r="A3" s="7" t="s">
        <v>34</v>
      </c>
      <c r="B3" s="11">
        <v>4</v>
      </c>
      <c r="C3" s="9"/>
      <c r="D3" s="9"/>
      <c r="E3" s="9"/>
      <c r="F3" s="9"/>
    </row>
    <row r="4" spans="1:7" x14ac:dyDescent="0.25">
      <c r="A4" s="7" t="s">
        <v>35</v>
      </c>
      <c r="B4" s="12">
        <v>0.25</v>
      </c>
      <c r="C4" s="9"/>
      <c r="D4" s="9"/>
      <c r="E4" s="9"/>
      <c r="F4" s="9"/>
    </row>
    <row r="5" spans="1:7" x14ac:dyDescent="0.25">
      <c r="A5" s="7" t="s">
        <v>36</v>
      </c>
      <c r="B5" s="13">
        <v>5.0000000000000001E-3</v>
      </c>
      <c r="C5" s="9"/>
      <c r="D5" s="9"/>
      <c r="E5" s="9"/>
      <c r="F5" s="9"/>
    </row>
    <row r="6" spans="1:7" x14ac:dyDescent="0.25">
      <c r="A6" s="7" t="s">
        <v>37</v>
      </c>
      <c r="B6" s="10">
        <v>0.04</v>
      </c>
      <c r="C6" s="9"/>
      <c r="D6" s="9"/>
      <c r="E6" s="9"/>
      <c r="F6" s="9"/>
    </row>
    <row r="7" spans="1:7" x14ac:dyDescent="0.25">
      <c r="A7" s="7" t="s">
        <v>38</v>
      </c>
      <c r="B7" s="14">
        <v>5.0000000000000001E-3</v>
      </c>
      <c r="C7" s="9"/>
      <c r="D7" s="9"/>
      <c r="E7" s="9"/>
      <c r="F7" s="9"/>
    </row>
    <row r="8" spans="1:7" x14ac:dyDescent="0.25">
      <c r="A8" s="7" t="s">
        <v>39</v>
      </c>
      <c r="B8" s="15">
        <v>1.2</v>
      </c>
      <c r="C8" s="9"/>
      <c r="D8" s="9"/>
      <c r="E8" s="9"/>
      <c r="F8" s="9"/>
    </row>
    <row r="9" spans="1:7" x14ac:dyDescent="0.25">
      <c r="A9" s="7" t="s">
        <v>40</v>
      </c>
      <c r="B9" s="14">
        <v>8.3000000000000001E-3</v>
      </c>
      <c r="C9" s="9"/>
      <c r="D9" s="9"/>
      <c r="E9" s="9"/>
      <c r="F9" s="9"/>
    </row>
    <row r="10" spans="1:7" x14ac:dyDescent="0.25">
      <c r="A10" s="7" t="s">
        <v>20</v>
      </c>
      <c r="B10" s="16">
        <v>0.3</v>
      </c>
      <c r="C10" s="9"/>
      <c r="D10" s="9"/>
      <c r="E10" s="9"/>
      <c r="F10" s="9"/>
    </row>
    <row r="11" spans="1:7" x14ac:dyDescent="0.25">
      <c r="A11" s="17"/>
      <c r="B11" s="18"/>
      <c r="C11" s="9"/>
      <c r="D11" s="9"/>
      <c r="E11" s="9"/>
      <c r="F11" s="9"/>
    </row>
    <row r="12" spans="1:7" x14ac:dyDescent="0.25">
      <c r="A12" s="17"/>
      <c r="B12" s="18"/>
      <c r="C12" s="9"/>
      <c r="D12" s="9"/>
      <c r="E12" s="9"/>
      <c r="F12" s="9"/>
    </row>
    <row r="13" spans="1:7" x14ac:dyDescent="0.25">
      <c r="A13" s="85"/>
      <c r="B13" s="85"/>
      <c r="C13" s="85"/>
      <c r="D13" s="9"/>
      <c r="E13" s="9"/>
      <c r="F13" s="9"/>
    </row>
    <row r="14" spans="1:7" x14ac:dyDescent="0.25">
      <c r="A14" s="83" t="s">
        <v>11</v>
      </c>
      <c r="B14" s="83"/>
      <c r="C14" s="83"/>
      <c r="D14" s="9"/>
      <c r="E14" s="9"/>
      <c r="F14" s="9"/>
    </row>
    <row r="15" spans="1:7" x14ac:dyDescent="0.25">
      <c r="A15" s="19"/>
      <c r="B15" s="20">
        <v>0</v>
      </c>
      <c r="C15" s="20">
        <v>1</v>
      </c>
      <c r="D15" s="20">
        <v>2</v>
      </c>
      <c r="E15" s="20">
        <v>3</v>
      </c>
      <c r="F15" s="21">
        <v>4</v>
      </c>
      <c r="G15" s="22" t="s">
        <v>41</v>
      </c>
    </row>
    <row r="16" spans="1:7" x14ac:dyDescent="0.25">
      <c r="A16" s="23" t="s">
        <v>42</v>
      </c>
      <c r="B16" s="67">
        <f>B8</f>
        <v>1.2</v>
      </c>
      <c r="C16" s="67">
        <f>B16*(1+$B$9)</f>
        <v>1.2099599999999999</v>
      </c>
      <c r="D16" s="67">
        <f t="shared" ref="D16:F16" si="0">C16*(1+$B$9)</f>
        <v>1.2200026679999998</v>
      </c>
      <c r="E16" s="67">
        <f t="shared" si="0"/>
        <v>1.2301286901443997</v>
      </c>
      <c r="F16" s="67">
        <f t="shared" si="0"/>
        <v>1.2403387582725982</v>
      </c>
      <c r="G16" s="24" t="s">
        <v>43</v>
      </c>
    </row>
    <row r="17" spans="1:7" x14ac:dyDescent="0.25">
      <c r="A17" s="23" t="s">
        <v>44</v>
      </c>
      <c r="B17" s="68">
        <f>B1</f>
        <v>1080000</v>
      </c>
      <c r="C17" s="69"/>
      <c r="D17" s="69"/>
      <c r="E17" s="69"/>
      <c r="F17" s="69"/>
      <c r="G17" s="25" t="s">
        <v>43</v>
      </c>
    </row>
    <row r="18" spans="1:7" x14ac:dyDescent="0.25">
      <c r="A18" s="23" t="s">
        <v>45</v>
      </c>
      <c r="B18" s="26"/>
      <c r="C18" s="26">
        <f>B17</f>
        <v>1080000</v>
      </c>
      <c r="D18" s="26">
        <f>C18-C19</f>
        <v>810000</v>
      </c>
      <c r="E18" s="26">
        <f t="shared" ref="E18:F18" si="1">D18-D19</f>
        <v>540000</v>
      </c>
      <c r="F18" s="26">
        <f t="shared" si="1"/>
        <v>270000</v>
      </c>
      <c r="G18" s="25" t="s">
        <v>43</v>
      </c>
    </row>
    <row r="19" spans="1:7" x14ac:dyDescent="0.25">
      <c r="A19" s="23" t="s">
        <v>46</v>
      </c>
      <c r="B19" s="26"/>
      <c r="C19" s="26">
        <f>$B$17*$B$4</f>
        <v>270000</v>
      </c>
      <c r="D19" s="26">
        <f t="shared" ref="D19:F19" si="2">$B$17*$B$4</f>
        <v>270000</v>
      </c>
      <c r="E19" s="26">
        <f t="shared" si="2"/>
        <v>270000</v>
      </c>
      <c r="F19" s="26">
        <f t="shared" si="2"/>
        <v>270000</v>
      </c>
      <c r="G19" s="25" t="s">
        <v>43</v>
      </c>
    </row>
    <row r="20" spans="1:7" x14ac:dyDescent="0.25">
      <c r="A20" s="27" t="s">
        <v>47</v>
      </c>
      <c r="B20" s="28"/>
      <c r="C20" s="28">
        <f>C18*$B$2</f>
        <v>75600</v>
      </c>
      <c r="D20" s="28">
        <f t="shared" ref="D20:F20" si="3">D18*$B$2</f>
        <v>56700.000000000007</v>
      </c>
      <c r="E20" s="28">
        <f t="shared" si="3"/>
        <v>37800</v>
      </c>
      <c r="F20" s="28">
        <f t="shared" si="3"/>
        <v>18900</v>
      </c>
      <c r="G20" s="29" t="s">
        <v>43</v>
      </c>
    </row>
    <row r="21" spans="1:7" x14ac:dyDescent="0.25">
      <c r="A21" s="23" t="s">
        <v>44</v>
      </c>
      <c r="B21" s="30">
        <f>B17/B16</f>
        <v>900000</v>
      </c>
      <c r="C21" s="30"/>
      <c r="D21" s="30"/>
      <c r="E21" s="30"/>
      <c r="F21" s="31"/>
      <c r="G21" s="25" t="s">
        <v>48</v>
      </c>
    </row>
    <row r="22" spans="1:7" x14ac:dyDescent="0.25">
      <c r="A22" s="23" t="s">
        <v>45</v>
      </c>
      <c r="B22" s="31"/>
      <c r="C22" s="31">
        <f>C$18/C$16</f>
        <v>892591.4906277894</v>
      </c>
      <c r="D22" s="31">
        <f t="shared" ref="D22:F22" si="4">D$18/D$16</f>
        <v>663932.97428428254</v>
      </c>
      <c r="E22" s="31">
        <f t="shared" si="4"/>
        <v>438978.46162470337</v>
      </c>
      <c r="F22" s="31">
        <f t="shared" si="4"/>
        <v>217682.46634171545</v>
      </c>
      <c r="G22" s="25" t="s">
        <v>48</v>
      </c>
    </row>
    <row r="23" spans="1:7" x14ac:dyDescent="0.25">
      <c r="A23" s="23" t="s">
        <v>46</v>
      </c>
      <c r="B23" s="31"/>
      <c r="C23" s="31">
        <f>C$19/C$16</f>
        <v>223147.87265694735</v>
      </c>
      <c r="D23" s="31">
        <f t="shared" ref="D23:F23" si="5">D$19/D$16</f>
        <v>221310.99142809419</v>
      </c>
      <c r="E23" s="31">
        <f t="shared" si="5"/>
        <v>219489.23081235169</v>
      </c>
      <c r="F23" s="31">
        <f t="shared" si="5"/>
        <v>217682.46634171545</v>
      </c>
      <c r="G23" s="25" t="s">
        <v>48</v>
      </c>
    </row>
    <row r="24" spans="1:7" x14ac:dyDescent="0.25">
      <c r="A24" s="23" t="s">
        <v>47</v>
      </c>
      <c r="B24" s="30"/>
      <c r="C24" s="31">
        <f>C$20/C$16</f>
        <v>62481.404343945258</v>
      </c>
      <c r="D24" s="31">
        <f t="shared" ref="D24:F24" si="6">D$20/D$16</f>
        <v>46475.308199899788</v>
      </c>
      <c r="E24" s="31">
        <f t="shared" si="6"/>
        <v>30728.492313729235</v>
      </c>
      <c r="F24" s="31">
        <f t="shared" si="6"/>
        <v>15237.772643920081</v>
      </c>
      <c r="G24" s="25" t="s">
        <v>48</v>
      </c>
    </row>
    <row r="25" spans="1:7" x14ac:dyDescent="0.25">
      <c r="A25" s="23" t="s">
        <v>38</v>
      </c>
      <c r="B25" s="30">
        <f>B21*B7</f>
        <v>4500</v>
      </c>
      <c r="C25" s="31"/>
      <c r="D25" s="31"/>
      <c r="E25" s="31"/>
      <c r="F25" s="31"/>
      <c r="G25" s="25" t="s">
        <v>48</v>
      </c>
    </row>
    <row r="26" spans="1:7" x14ac:dyDescent="0.25">
      <c r="A26" s="23" t="s">
        <v>49</v>
      </c>
      <c r="B26" s="30"/>
      <c r="C26" s="31">
        <f>C22*$B$7</f>
        <v>4462.9574531389471</v>
      </c>
      <c r="D26" s="31">
        <f t="shared" ref="D26:F26" si="7">D22*$B$7</f>
        <v>3319.664871421413</v>
      </c>
      <c r="E26" s="31">
        <f t="shared" si="7"/>
        <v>2194.8923081235171</v>
      </c>
      <c r="F26" s="31">
        <f t="shared" si="7"/>
        <v>1088.4123317085773</v>
      </c>
      <c r="G26" s="25" t="s">
        <v>48</v>
      </c>
    </row>
    <row r="27" spans="1:7" x14ac:dyDescent="0.25">
      <c r="A27" s="23" t="s">
        <v>50</v>
      </c>
      <c r="B27" s="30"/>
      <c r="C27" s="31">
        <f>C$24*$B$6</f>
        <v>2499.2561737578103</v>
      </c>
      <c r="D27" s="31">
        <f t="shared" ref="D27:F27" si="8">D$24*$B$6</f>
        <v>1859.0123279959917</v>
      </c>
      <c r="E27" s="31">
        <f t="shared" si="8"/>
        <v>1229.1396925491695</v>
      </c>
      <c r="F27" s="31">
        <f t="shared" si="8"/>
        <v>609.51090575680325</v>
      </c>
      <c r="G27" s="25" t="s">
        <v>48</v>
      </c>
    </row>
    <row r="28" spans="1:7" x14ac:dyDescent="0.25">
      <c r="A28" s="23" t="s">
        <v>51</v>
      </c>
      <c r="B28" s="30">
        <f>B$26*$B$6</f>
        <v>0</v>
      </c>
      <c r="C28" s="30">
        <f t="shared" ref="C28:F28" si="9">C$26*$B$6</f>
        <v>178.51829812555789</v>
      </c>
      <c r="D28" s="30">
        <f t="shared" si="9"/>
        <v>132.78659485685651</v>
      </c>
      <c r="E28" s="30">
        <f t="shared" si="9"/>
        <v>87.795692324940688</v>
      </c>
      <c r="F28" s="30">
        <f t="shared" si="9"/>
        <v>43.536493268343094</v>
      </c>
      <c r="G28" s="25" t="s">
        <v>48</v>
      </c>
    </row>
    <row r="29" spans="1:7" x14ac:dyDescent="0.25">
      <c r="A29" s="23" t="s">
        <v>52</v>
      </c>
      <c r="B29" s="30"/>
      <c r="C29" s="31">
        <f>(C$18/C$16)-(C$18/B$16)</f>
        <v>-7408.5093722105958</v>
      </c>
      <c r="D29" s="31">
        <f t="shared" ref="D29:F29" si="10">(D$18/D$16)-(D$18/C$16)</f>
        <v>-5510.6436865595169</v>
      </c>
      <c r="E29" s="31">
        <f t="shared" si="10"/>
        <v>-3643.5212314850069</v>
      </c>
      <c r="F29" s="31">
        <f t="shared" si="10"/>
        <v>-1806.7644706362335</v>
      </c>
      <c r="G29" s="25" t="s">
        <v>48</v>
      </c>
    </row>
    <row r="30" spans="1:7" x14ac:dyDescent="0.25">
      <c r="A30" s="23" t="s">
        <v>53</v>
      </c>
      <c r="B30" s="30"/>
      <c r="C30" s="31">
        <f>(C$24+C$29)*$B$10</f>
        <v>16521.868491520399</v>
      </c>
      <c r="D30" s="31">
        <f t="shared" ref="D30:F30" si="11">(D$24+D$29)*$B$10</f>
        <v>12289.39935400208</v>
      </c>
      <c r="E30" s="31">
        <f t="shared" si="11"/>
        <v>8125.4913246732685</v>
      </c>
      <c r="F30" s="31">
        <f t="shared" si="11"/>
        <v>4029.3024519851542</v>
      </c>
      <c r="G30" s="25" t="s">
        <v>48</v>
      </c>
    </row>
    <row r="31" spans="1:7" x14ac:dyDescent="0.25">
      <c r="A31" s="23" t="s">
        <v>54</v>
      </c>
      <c r="B31" s="30"/>
      <c r="C31" s="31">
        <f>$B$25/$B$3*$B$10</f>
        <v>337.5</v>
      </c>
      <c r="D31" s="31">
        <f t="shared" ref="D31:F31" si="12">$B$25/$B$3*$B$10</f>
        <v>337.5</v>
      </c>
      <c r="E31" s="31">
        <f t="shared" si="12"/>
        <v>337.5</v>
      </c>
      <c r="F31" s="31">
        <f t="shared" si="12"/>
        <v>337.5</v>
      </c>
      <c r="G31" s="25" t="s">
        <v>48</v>
      </c>
    </row>
    <row r="32" spans="1:7" x14ac:dyDescent="0.25">
      <c r="A32" s="23" t="s">
        <v>55</v>
      </c>
      <c r="B32" s="30"/>
      <c r="C32" s="31">
        <f>(C$27+C$28)*$B$10</f>
        <v>803.33234156501044</v>
      </c>
      <c r="D32" s="31">
        <f t="shared" ref="D32:F32" si="13">(D$27+D$28)*$B$10</f>
        <v>597.5396768558544</v>
      </c>
      <c r="E32" s="31">
        <f t="shared" si="13"/>
        <v>395.08061546223308</v>
      </c>
      <c r="F32" s="31">
        <f t="shared" si="13"/>
        <v>195.91421970754388</v>
      </c>
      <c r="G32" s="25" t="s">
        <v>48</v>
      </c>
    </row>
    <row r="33" spans="1:7" x14ac:dyDescent="0.25">
      <c r="A33" s="23" t="s">
        <v>56</v>
      </c>
      <c r="B33" s="30"/>
      <c r="C33" s="31">
        <f>C$26*$B$10</f>
        <v>1338.8872359416841</v>
      </c>
      <c r="D33" s="31">
        <f t="shared" ref="D33:F33" si="14">D$26*$B$10</f>
        <v>995.89946142642384</v>
      </c>
      <c r="E33" s="31">
        <f t="shared" si="14"/>
        <v>658.46769243705512</v>
      </c>
      <c r="F33" s="31">
        <f t="shared" si="14"/>
        <v>326.52369951257316</v>
      </c>
      <c r="G33" s="25" t="s">
        <v>48</v>
      </c>
    </row>
    <row r="34" spans="1:7" x14ac:dyDescent="0.25">
      <c r="A34" s="32"/>
      <c r="B34" s="59"/>
      <c r="C34" s="59"/>
      <c r="D34" s="59"/>
      <c r="E34" s="59"/>
      <c r="F34" s="59"/>
      <c r="G34" s="29" t="s">
        <v>48</v>
      </c>
    </row>
    <row r="35" spans="1:7" x14ac:dyDescent="0.25">
      <c r="A35" s="33" t="s">
        <v>31</v>
      </c>
      <c r="B35" s="59">
        <f>B21-B23-B24-B25-B26-B27-B28+B30+B31+B32+B33</f>
        <v>895500</v>
      </c>
      <c r="C35" s="59">
        <f t="shared" ref="C35:F35" si="15">C21-C23-C24-C25-C26-C27-C28+C30+C31+C32+C33</f>
        <v>-273768.42085688788</v>
      </c>
      <c r="D35" s="59">
        <f t="shared" si="15"/>
        <v>-258877.42492998386</v>
      </c>
      <c r="E35" s="59">
        <f t="shared" si="15"/>
        <v>-244213.01118650599</v>
      </c>
      <c r="F35" s="59">
        <f t="shared" si="15"/>
        <v>-229772.45834516399</v>
      </c>
      <c r="G35" s="29" t="s">
        <v>48</v>
      </c>
    </row>
    <row r="36" spans="1:7" x14ac:dyDescent="0.25">
      <c r="A36" s="34"/>
      <c r="B36" s="9"/>
      <c r="C36" s="9"/>
      <c r="D36" s="9"/>
      <c r="E36" s="9"/>
      <c r="F36" s="9"/>
    </row>
    <row r="37" spans="1:7" x14ac:dyDescent="0.25">
      <c r="A37" s="60" t="s">
        <v>21</v>
      </c>
      <c r="B37" s="61">
        <v>5.0017854088164261E-2</v>
      </c>
      <c r="C37" s="63">
        <f>B35+(C35/(1+B37)^C15)+(D35/(1+B37)^D15)+(E35/(1+B37)^E15)+(F35/(1+B37)^F15)</f>
        <v>-6.3737388700246811E-9</v>
      </c>
      <c r="D37" s="9"/>
      <c r="E37" s="9"/>
      <c r="F37" s="9"/>
    </row>
    <row r="38" spans="1:7" x14ac:dyDescent="0.25">
      <c r="A38" s="34"/>
      <c r="B38" s="9"/>
      <c r="C38" s="9"/>
      <c r="D38" s="9"/>
      <c r="E38" s="9"/>
      <c r="F38" s="9"/>
    </row>
    <row r="39" spans="1:7" x14ac:dyDescent="0.25">
      <c r="D39" s="9"/>
      <c r="E39" s="9"/>
      <c r="F39" s="9"/>
    </row>
    <row r="40" spans="1:7" x14ac:dyDescent="0.25">
      <c r="B40" s="6"/>
    </row>
  </sheetData>
  <mergeCells count="2">
    <mergeCell ref="A13:C13"/>
    <mergeCell ref="A14:C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activeCell="A31" sqref="A31:G31"/>
    </sheetView>
  </sheetViews>
  <sheetFormatPr defaultRowHeight="15" x14ac:dyDescent="0.25"/>
  <cols>
    <col min="1" max="1" width="41.85546875" bestFit="1" customWidth="1"/>
    <col min="2" max="2" width="11" bestFit="1" customWidth="1"/>
    <col min="3" max="17" width="10.140625" bestFit="1" customWidth="1"/>
    <col min="18" max="19" width="9.28515625" bestFit="1" customWidth="1"/>
  </cols>
  <sheetData>
    <row r="1" spans="1:3" x14ac:dyDescent="0.25">
      <c r="A1" s="7" t="s">
        <v>25</v>
      </c>
      <c r="B1" s="8">
        <v>900000</v>
      </c>
    </row>
    <row r="2" spans="1:3" x14ac:dyDescent="0.25">
      <c r="A2" s="7" t="s">
        <v>1</v>
      </c>
      <c r="B2" s="76">
        <v>0.06</v>
      </c>
    </row>
    <row r="3" spans="1:3" x14ac:dyDescent="0.25">
      <c r="A3" s="7" t="s">
        <v>2</v>
      </c>
      <c r="B3" s="77">
        <v>4</v>
      </c>
    </row>
    <row r="4" spans="1:3" x14ac:dyDescent="0.25">
      <c r="A4" s="7" t="s">
        <v>3</v>
      </c>
      <c r="B4" s="11" t="s">
        <v>26</v>
      </c>
    </row>
    <row r="5" spans="1:3" x14ac:dyDescent="0.25">
      <c r="A5" s="7" t="s">
        <v>4</v>
      </c>
      <c r="B5" s="36" t="s">
        <v>27</v>
      </c>
    </row>
    <row r="6" spans="1:3" x14ac:dyDescent="0.25">
      <c r="A6" s="7" t="s">
        <v>29</v>
      </c>
      <c r="B6" s="78">
        <f>10%*B1</f>
        <v>90000</v>
      </c>
    </row>
    <row r="7" spans="1:3" x14ac:dyDescent="0.25">
      <c r="A7" s="7" t="s">
        <v>57</v>
      </c>
      <c r="B7" s="79">
        <f>30%</f>
        <v>0.3</v>
      </c>
    </row>
    <row r="8" spans="1:3" x14ac:dyDescent="0.25">
      <c r="B8" s="9"/>
    </row>
    <row r="9" spans="1:3" x14ac:dyDescent="0.25">
      <c r="A9" s="7" t="s">
        <v>6</v>
      </c>
      <c r="B9" s="80">
        <f>B3*4</f>
        <v>16</v>
      </c>
    </row>
    <row r="10" spans="1:3" x14ac:dyDescent="0.25">
      <c r="A10" s="7" t="s">
        <v>7</v>
      </c>
      <c r="B10" s="81">
        <f>B2/4</f>
        <v>1.4999999999999999E-2</v>
      </c>
    </row>
    <row r="11" spans="1:3" x14ac:dyDescent="0.25">
      <c r="A11" s="7" t="s">
        <v>8</v>
      </c>
      <c r="B11" s="82">
        <f>(1-(1+B10)^-B9)/B10</f>
        <v>14.13126404533253</v>
      </c>
    </row>
    <row r="12" spans="1:3" x14ac:dyDescent="0.25">
      <c r="A12" s="7" t="s">
        <v>28</v>
      </c>
      <c r="B12" s="82">
        <f>B11*(1+B10)</f>
        <v>14.343233006012516</v>
      </c>
    </row>
    <row r="13" spans="1:3" x14ac:dyDescent="0.25">
      <c r="A13" s="7" t="s">
        <v>4</v>
      </c>
      <c r="B13" s="28">
        <f>(B1-(B6/(1+B10)^B9))/B12</f>
        <v>57802.672947839535</v>
      </c>
    </row>
    <row r="16" spans="1:3" x14ac:dyDescent="0.25">
      <c r="A16" s="83" t="s">
        <v>59</v>
      </c>
      <c r="B16" s="83"/>
      <c r="C16" s="83"/>
    </row>
    <row r="17" spans="1:19" x14ac:dyDescent="0.25">
      <c r="A17" s="19"/>
      <c r="B17" s="41">
        <v>0</v>
      </c>
      <c r="C17" s="41">
        <v>1</v>
      </c>
      <c r="D17" s="41">
        <v>2</v>
      </c>
      <c r="E17" s="41">
        <v>3</v>
      </c>
      <c r="F17" s="41">
        <v>4</v>
      </c>
      <c r="G17" s="41">
        <v>5</v>
      </c>
      <c r="H17" s="41">
        <v>6</v>
      </c>
      <c r="I17" s="41">
        <v>7</v>
      </c>
      <c r="J17" s="41">
        <v>8</v>
      </c>
      <c r="K17" s="41">
        <v>9</v>
      </c>
      <c r="L17" s="41">
        <v>10</v>
      </c>
      <c r="M17" s="41">
        <v>11</v>
      </c>
      <c r="N17" s="41">
        <v>12</v>
      </c>
      <c r="O17" s="41">
        <v>13</v>
      </c>
      <c r="P17" s="41">
        <v>14</v>
      </c>
      <c r="Q17" s="41">
        <v>15</v>
      </c>
      <c r="R17" s="41">
        <v>16</v>
      </c>
    </row>
    <row r="18" spans="1:19" x14ac:dyDescent="0.25">
      <c r="A18" s="43" t="s">
        <v>30</v>
      </c>
      <c r="B18" s="71">
        <f>B1</f>
        <v>900000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9"/>
    </row>
    <row r="19" spans="1:19" x14ac:dyDescent="0.25">
      <c r="A19" s="36" t="s">
        <v>14</v>
      </c>
      <c r="B19" s="31">
        <f>B18</f>
        <v>900000</v>
      </c>
      <c r="C19" s="31">
        <f>B$19-B$20</f>
        <v>842197.32705216052</v>
      </c>
      <c r="D19" s="31">
        <f t="shared" ref="D19:S19" si="0">C$19-C$20</f>
        <v>797027.6140101034</v>
      </c>
      <c r="E19" s="31">
        <f t="shared" si="0"/>
        <v>751180.35527241544</v>
      </c>
      <c r="F19" s="31">
        <f t="shared" si="0"/>
        <v>704645.38765366212</v>
      </c>
      <c r="G19" s="31">
        <f t="shared" si="0"/>
        <v>657412.3955206275</v>
      </c>
      <c r="H19" s="31">
        <f t="shared" si="0"/>
        <v>609470.90850559738</v>
      </c>
      <c r="I19" s="31">
        <f t="shared" si="0"/>
        <v>560810.29918534181</v>
      </c>
      <c r="J19" s="31">
        <f t="shared" si="0"/>
        <v>511419.78072528238</v>
      </c>
      <c r="K19" s="31">
        <f t="shared" si="0"/>
        <v>461288.40448832209</v>
      </c>
      <c r="L19" s="31">
        <f t="shared" si="0"/>
        <v>410405.05760780739</v>
      </c>
      <c r="M19" s="31">
        <f t="shared" si="0"/>
        <v>358758.46052408498</v>
      </c>
      <c r="N19" s="31">
        <f t="shared" si="0"/>
        <v>306337.1644841067</v>
      </c>
      <c r="O19" s="31">
        <f t="shared" si="0"/>
        <v>253129.54900352878</v>
      </c>
      <c r="P19" s="31">
        <f t="shared" si="0"/>
        <v>199123.81929074216</v>
      </c>
      <c r="Q19" s="31">
        <f t="shared" si="0"/>
        <v>144308.00363226375</v>
      </c>
      <c r="R19" s="31">
        <f t="shared" si="0"/>
        <v>88669.95073890817</v>
      </c>
      <c r="S19" s="40">
        <f t="shared" si="0"/>
        <v>-8.2072801887989044E-9</v>
      </c>
    </row>
    <row r="20" spans="1:19" x14ac:dyDescent="0.25">
      <c r="A20" s="36" t="s">
        <v>13</v>
      </c>
      <c r="B20" s="31">
        <f>B$22-B$21</f>
        <v>57802.672947839535</v>
      </c>
      <c r="C20" s="31">
        <f>C$22-C$21</f>
        <v>45169.713042057127</v>
      </c>
      <c r="D20" s="31">
        <f t="shared" ref="D20:R20" si="1">D$22-D$21</f>
        <v>45847.258737687982</v>
      </c>
      <c r="E20" s="31">
        <f t="shared" si="1"/>
        <v>46534.967618753304</v>
      </c>
      <c r="F20" s="31">
        <f t="shared" si="1"/>
        <v>47232.992133034604</v>
      </c>
      <c r="G20" s="31">
        <f t="shared" si="1"/>
        <v>47941.487015030121</v>
      </c>
      <c r="H20" s="31">
        <f t="shared" si="1"/>
        <v>48660.609320255578</v>
      </c>
      <c r="I20" s="31">
        <f t="shared" si="1"/>
        <v>49390.518460059408</v>
      </c>
      <c r="J20" s="31">
        <f t="shared" si="1"/>
        <v>50131.376236960299</v>
      </c>
      <c r="K20" s="31">
        <f t="shared" si="1"/>
        <v>50883.346880514706</v>
      </c>
      <c r="L20" s="31">
        <f t="shared" si="1"/>
        <v>51646.597083722423</v>
      </c>
      <c r="M20" s="31">
        <f t="shared" si="1"/>
        <v>52421.296039978261</v>
      </c>
      <c r="N20" s="31">
        <f t="shared" si="1"/>
        <v>53207.615480577937</v>
      </c>
      <c r="O20" s="31">
        <f t="shared" si="1"/>
        <v>54005.729712786604</v>
      </c>
      <c r="P20" s="31">
        <f t="shared" si="1"/>
        <v>54815.815658478401</v>
      </c>
      <c r="Q20" s="31">
        <f t="shared" si="1"/>
        <v>55638.052893355576</v>
      </c>
      <c r="R20" s="31">
        <f t="shared" si="1"/>
        <v>88669.950738916377</v>
      </c>
      <c r="S20" s="9"/>
    </row>
    <row r="21" spans="1:19" x14ac:dyDescent="0.25">
      <c r="A21" s="36" t="s">
        <v>15</v>
      </c>
      <c r="B21" s="31"/>
      <c r="C21" s="31">
        <f>C$19*$B$10</f>
        <v>12632.959905782407</v>
      </c>
      <c r="D21" s="31">
        <f t="shared" ref="D21:R21" si="2">D$19*$B$10</f>
        <v>11955.41421015155</v>
      </c>
      <c r="E21" s="31">
        <f t="shared" si="2"/>
        <v>11267.705329086231</v>
      </c>
      <c r="F21" s="31">
        <f t="shared" si="2"/>
        <v>10569.680814804931</v>
      </c>
      <c r="G21" s="31">
        <f t="shared" si="2"/>
        <v>9861.1859328094124</v>
      </c>
      <c r="H21" s="31">
        <f t="shared" si="2"/>
        <v>9142.0636275839606</v>
      </c>
      <c r="I21" s="31">
        <f t="shared" si="2"/>
        <v>8412.1544877801261</v>
      </c>
      <c r="J21" s="31">
        <f t="shared" si="2"/>
        <v>7671.2967108792354</v>
      </c>
      <c r="K21" s="31">
        <f t="shared" si="2"/>
        <v>6919.3260673248315</v>
      </c>
      <c r="L21" s="31">
        <f t="shared" si="2"/>
        <v>6156.0758641171105</v>
      </c>
      <c r="M21" s="31">
        <f t="shared" si="2"/>
        <v>5381.376907861274</v>
      </c>
      <c r="N21" s="31">
        <f t="shared" si="2"/>
        <v>4595.0574672616003</v>
      </c>
      <c r="O21" s="31">
        <f t="shared" si="2"/>
        <v>3796.9432350529314</v>
      </c>
      <c r="P21" s="31">
        <f t="shared" si="2"/>
        <v>2986.8572893611322</v>
      </c>
      <c r="Q21" s="31">
        <f t="shared" si="2"/>
        <v>2164.6200544839562</v>
      </c>
      <c r="R21" s="31">
        <f t="shared" si="2"/>
        <v>1330.0492610836225</v>
      </c>
      <c r="S21" s="9"/>
    </row>
    <row r="22" spans="1:19" x14ac:dyDescent="0.25">
      <c r="A22" s="36" t="s">
        <v>32</v>
      </c>
      <c r="B22" s="31">
        <f>$B$13</f>
        <v>57802.672947839535</v>
      </c>
      <c r="C22" s="31">
        <f>$B$13</f>
        <v>57802.672947839535</v>
      </c>
      <c r="D22" s="31">
        <f t="shared" ref="D22:Q22" si="3">$B$13</f>
        <v>57802.672947839535</v>
      </c>
      <c r="E22" s="31">
        <f t="shared" si="3"/>
        <v>57802.672947839535</v>
      </c>
      <c r="F22" s="31">
        <f t="shared" si="3"/>
        <v>57802.672947839535</v>
      </c>
      <c r="G22" s="31">
        <f t="shared" si="3"/>
        <v>57802.672947839535</v>
      </c>
      <c r="H22" s="31">
        <f t="shared" si="3"/>
        <v>57802.672947839535</v>
      </c>
      <c r="I22" s="31">
        <f t="shared" si="3"/>
        <v>57802.672947839535</v>
      </c>
      <c r="J22" s="31">
        <f t="shared" si="3"/>
        <v>57802.672947839535</v>
      </c>
      <c r="K22" s="31">
        <f t="shared" si="3"/>
        <v>57802.672947839535</v>
      </c>
      <c r="L22" s="31">
        <f t="shared" si="3"/>
        <v>57802.672947839535</v>
      </c>
      <c r="M22" s="31">
        <f t="shared" si="3"/>
        <v>57802.672947839535</v>
      </c>
      <c r="N22" s="31">
        <f t="shared" si="3"/>
        <v>57802.672947839535</v>
      </c>
      <c r="O22" s="31">
        <f t="shared" si="3"/>
        <v>57802.672947839535</v>
      </c>
      <c r="P22" s="31">
        <f t="shared" si="3"/>
        <v>57802.672947839535</v>
      </c>
      <c r="Q22" s="31">
        <f t="shared" si="3"/>
        <v>57802.672947839535</v>
      </c>
      <c r="R22" s="31">
        <f>B6</f>
        <v>90000</v>
      </c>
      <c r="S22" s="9"/>
    </row>
    <row r="23" spans="1:19" x14ac:dyDescent="0.25">
      <c r="A23" s="36" t="s">
        <v>69</v>
      </c>
      <c r="B23" s="31"/>
      <c r="C23" s="31"/>
      <c r="D23" s="31"/>
      <c r="E23" s="31"/>
      <c r="F23" s="31">
        <f>SUM(C21:F21)*$B$7</f>
        <v>13927.728077947535</v>
      </c>
      <c r="G23" s="31"/>
      <c r="H23" s="31"/>
      <c r="I23" s="31"/>
      <c r="J23" s="31">
        <f>SUM(G21:J21)*$B$7</f>
        <v>10526.01022771582</v>
      </c>
      <c r="K23" s="31"/>
      <c r="L23" s="31"/>
      <c r="M23" s="31"/>
      <c r="N23" s="31">
        <f>SUM(K21:N21)*$B$7</f>
        <v>6915.5508919694448</v>
      </c>
      <c r="O23" s="31"/>
      <c r="P23" s="31"/>
      <c r="Q23" s="31"/>
      <c r="R23" s="31">
        <f>SUM(O21:R21)*$B$7</f>
        <v>3083.5409519944928</v>
      </c>
      <c r="S23" s="9"/>
    </row>
    <row r="24" spans="1:19" x14ac:dyDescent="0.25">
      <c r="A24" s="36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9"/>
    </row>
    <row r="25" spans="1:19" x14ac:dyDescent="0.25">
      <c r="A25" s="33" t="s">
        <v>31</v>
      </c>
      <c r="B25" s="51">
        <f>-B18+B22</f>
        <v>-842197.32705216052</v>
      </c>
      <c r="C25" s="51">
        <f>C$22-C$23</f>
        <v>57802.672947839535</v>
      </c>
      <c r="D25" s="51">
        <f t="shared" ref="D25:R25" si="4">D$22-D$23</f>
        <v>57802.672947839535</v>
      </c>
      <c r="E25" s="51">
        <f t="shared" si="4"/>
        <v>57802.672947839535</v>
      </c>
      <c r="F25" s="51">
        <f t="shared" si="4"/>
        <v>43874.944869892002</v>
      </c>
      <c r="G25" s="51">
        <f t="shared" si="4"/>
        <v>57802.672947839535</v>
      </c>
      <c r="H25" s="51">
        <f t="shared" si="4"/>
        <v>57802.672947839535</v>
      </c>
      <c r="I25" s="51">
        <f t="shared" si="4"/>
        <v>57802.672947839535</v>
      </c>
      <c r="J25" s="51">
        <f t="shared" si="4"/>
        <v>47276.662720123713</v>
      </c>
      <c r="K25" s="51">
        <f t="shared" si="4"/>
        <v>57802.672947839535</v>
      </c>
      <c r="L25" s="51">
        <f t="shared" si="4"/>
        <v>57802.672947839535</v>
      </c>
      <c r="M25" s="51">
        <f t="shared" si="4"/>
        <v>57802.672947839535</v>
      </c>
      <c r="N25" s="51">
        <f t="shared" si="4"/>
        <v>50887.122055870088</v>
      </c>
      <c r="O25" s="51">
        <f t="shared" si="4"/>
        <v>57802.672947839535</v>
      </c>
      <c r="P25" s="51">
        <f t="shared" si="4"/>
        <v>57802.672947839535</v>
      </c>
      <c r="Q25" s="51">
        <f t="shared" si="4"/>
        <v>57802.672947839535</v>
      </c>
      <c r="R25" s="51">
        <f t="shared" si="4"/>
        <v>86916.459048005505</v>
      </c>
      <c r="S25" s="9"/>
    </row>
    <row r="26" spans="1:19" x14ac:dyDescent="0.25">
      <c r="A26" s="35"/>
    </row>
    <row r="27" spans="1:19" x14ac:dyDescent="0.25">
      <c r="A27" s="33" t="s">
        <v>58</v>
      </c>
      <c r="B27" s="51">
        <f t="shared" ref="B27:R27" si="5">B25/(1+$B$29)^(B17/4)</f>
        <v>-842197.32705216052</v>
      </c>
      <c r="C27" s="51">
        <f t="shared" si="5"/>
        <v>57197.708545521207</v>
      </c>
      <c r="D27" s="51">
        <f t="shared" si="5"/>
        <v>56599.075717668355</v>
      </c>
      <c r="E27" s="51">
        <f t="shared" si="5"/>
        <v>56006.708197844368</v>
      </c>
      <c r="F27" s="51">
        <f t="shared" si="5"/>
        <v>42066.794341521163</v>
      </c>
      <c r="G27" s="51">
        <f t="shared" si="5"/>
        <v>54840.507477009873</v>
      </c>
      <c r="H27" s="51">
        <f t="shared" si="5"/>
        <v>54266.545181899382</v>
      </c>
      <c r="I27" s="51">
        <f t="shared" si="5"/>
        <v>53698.589992327565</v>
      </c>
      <c r="J27" s="51">
        <f t="shared" si="5"/>
        <v>43460.276093740918</v>
      </c>
      <c r="K27" s="51">
        <f t="shared" si="5"/>
        <v>52580.450105662007</v>
      </c>
      <c r="L27" s="51">
        <f t="shared" si="5"/>
        <v>52030.141634624619</v>
      </c>
      <c r="M27" s="51">
        <f t="shared" si="5"/>
        <v>51485.592707537238</v>
      </c>
      <c r="N27" s="51">
        <f t="shared" si="5"/>
        <v>44851.440244153477</v>
      </c>
      <c r="O27" s="51">
        <f t="shared" si="5"/>
        <v>50413.53299790353</v>
      </c>
      <c r="P27" s="51">
        <f t="shared" si="5"/>
        <v>49885.903542318432</v>
      </c>
      <c r="Q27" s="51">
        <f t="shared" si="5"/>
        <v>49363.796271469189</v>
      </c>
      <c r="R27" s="51">
        <f t="shared" si="5"/>
        <v>73450.264334074498</v>
      </c>
    </row>
    <row r="29" spans="1:19" x14ac:dyDescent="0.25">
      <c r="A29" s="60" t="s">
        <v>33</v>
      </c>
      <c r="B29" s="61">
        <v>4.2982845654729193E-2</v>
      </c>
      <c r="C29" s="62">
        <f>SUM(B27:R27)</f>
        <v>3.3311535662505776E-4</v>
      </c>
    </row>
    <row r="31" spans="1:19" x14ac:dyDescent="0.25">
      <c r="A31" s="86" t="s">
        <v>83</v>
      </c>
      <c r="B31" s="86"/>
      <c r="C31" s="86"/>
      <c r="D31" s="86"/>
      <c r="E31" s="86"/>
      <c r="F31" s="86"/>
      <c r="G31" s="86"/>
    </row>
  </sheetData>
  <mergeCells count="2">
    <mergeCell ref="A16:C16"/>
    <mergeCell ref="A31:G3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Identificação</vt:lpstr>
      <vt:lpstr>Empréstimo Bancário</vt:lpstr>
      <vt:lpstr>Empréstimo Obrigacionista</vt:lpstr>
      <vt:lpstr>Empréstimo Bancário em Divisas</vt:lpstr>
      <vt:lpstr>Leasing</vt:lpstr>
      <vt:lpstr>Folha1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Silva</dc:creator>
  <cp:lastModifiedBy>user</cp:lastModifiedBy>
  <cp:lastPrinted>2013-10-29T15:52:53Z</cp:lastPrinted>
  <dcterms:created xsi:type="dcterms:W3CDTF">2013-10-25T20:13:22Z</dcterms:created>
  <dcterms:modified xsi:type="dcterms:W3CDTF">2013-10-29T15:52:59Z</dcterms:modified>
</cp:coreProperties>
</file>