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25" windowWidth="12240" windowHeight="8265" activeTab="2"/>
  </bookViews>
  <sheets>
    <sheet name="Identificação" sheetId="17" r:id="rId1"/>
    <sheet name="Dados" sheetId="15" r:id="rId2"/>
    <sheet name="Resolução" sheetId="18" r:id="rId3"/>
  </sheets>
  <calcPr calcId="144525"/>
</workbook>
</file>

<file path=xl/calcChain.xml><?xml version="1.0" encoding="utf-8"?>
<calcChain xmlns="http://schemas.openxmlformats.org/spreadsheetml/2006/main">
  <c r="F3" i="18" l="1"/>
  <c r="F10" i="18"/>
  <c r="C31" i="18"/>
  <c r="C32" i="18"/>
  <c r="C34" i="18"/>
  <c r="H6" i="18"/>
  <c r="F8" i="18"/>
  <c r="H9" i="18"/>
  <c r="G9" i="18"/>
  <c r="F9" i="18"/>
  <c r="J8" i="18"/>
  <c r="I8" i="18"/>
  <c r="H8" i="18"/>
  <c r="G8" i="18"/>
  <c r="J7" i="18"/>
  <c r="I7" i="18"/>
  <c r="H7" i="18"/>
  <c r="G7" i="18"/>
  <c r="G10" i="18"/>
  <c r="D31" i="18"/>
  <c r="F7" i="18"/>
  <c r="J6" i="18"/>
  <c r="I6" i="18"/>
  <c r="G6" i="18"/>
  <c r="F6" i="18"/>
  <c r="J5" i="18"/>
  <c r="I5" i="18"/>
  <c r="H5" i="18"/>
  <c r="J4" i="18"/>
  <c r="I4" i="18"/>
  <c r="H4" i="18"/>
  <c r="G4" i="18"/>
  <c r="F4" i="18"/>
  <c r="J3" i="18"/>
  <c r="J10" i="18"/>
  <c r="G31" i="18"/>
  <c r="I3" i="18"/>
  <c r="H3" i="18"/>
  <c r="G3" i="18"/>
  <c r="C20" i="18"/>
  <c r="C30" i="18"/>
  <c r="C22" i="18"/>
  <c r="C25" i="18"/>
  <c r="C66" i="18"/>
  <c r="C109" i="18"/>
  <c r="C110" i="18"/>
  <c r="D109" i="18"/>
  <c r="D110" i="18"/>
  <c r="E109" i="18"/>
  <c r="E110" i="18"/>
  <c r="G109" i="18"/>
  <c r="G110" i="18"/>
  <c r="B109" i="18"/>
  <c r="B110" i="18"/>
  <c r="B95" i="18"/>
  <c r="B99" i="18"/>
  <c r="D29" i="18"/>
  <c r="E29" i="18"/>
  <c r="F29" i="18"/>
  <c r="C29" i="18"/>
  <c r="C28" i="18"/>
  <c r="C27" i="18"/>
  <c r="C26" i="18"/>
  <c r="C23" i="18"/>
  <c r="C19" i="18"/>
  <c r="C72" i="18"/>
  <c r="C43" i="18"/>
  <c r="C45" i="18"/>
  <c r="C73" i="18"/>
  <c r="C74" i="18"/>
  <c r="L8" i="18"/>
  <c r="M8" i="18"/>
  <c r="L6" i="18"/>
  <c r="M6" i="18"/>
  <c r="L4" i="18"/>
  <c r="M4" i="18"/>
  <c r="H10" i="18"/>
  <c r="E31" i="18"/>
  <c r="I10" i="18"/>
  <c r="F31" i="18"/>
  <c r="C10" i="18"/>
  <c r="K4" i="18"/>
  <c r="K5" i="18"/>
  <c r="L5" i="18"/>
  <c r="M5" i="18"/>
  <c r="K6" i="18"/>
  <c r="K7" i="18"/>
  <c r="L7" i="18"/>
  <c r="K8" i="18"/>
  <c r="K9" i="18"/>
  <c r="L9" i="18"/>
  <c r="M9" i="18"/>
  <c r="K3" i="18"/>
  <c r="L3" i="18"/>
  <c r="M3" i="18"/>
  <c r="D21" i="15"/>
  <c r="F36" i="15"/>
  <c r="I11" i="18"/>
  <c r="F97" i="18"/>
  <c r="D6" i="15"/>
  <c r="D5" i="15"/>
  <c r="E5" i="15"/>
  <c r="F5" i="15"/>
  <c r="D3" i="15"/>
  <c r="G3" i="15"/>
  <c r="D4" i="15"/>
  <c r="D7" i="15"/>
  <c r="D23" i="18"/>
  <c r="E13" i="15"/>
  <c r="F13" i="15"/>
  <c r="G13" i="15"/>
  <c r="E14" i="15"/>
  <c r="F14" i="15"/>
  <c r="G14" i="15"/>
  <c r="D18" i="15"/>
  <c r="D19" i="15"/>
  <c r="D26" i="18"/>
  <c r="E19" i="15"/>
  <c r="D20" i="15"/>
  <c r="D27" i="18"/>
  <c r="D23" i="15"/>
  <c r="E23" i="15"/>
  <c r="F23" i="15"/>
  <c r="D24" i="15"/>
  <c r="E24" i="15"/>
  <c r="F24" i="15"/>
  <c r="G8" i="15"/>
  <c r="G29" i="18"/>
  <c r="C62" i="18"/>
  <c r="C67" i="18"/>
  <c r="C52" i="18"/>
  <c r="D44" i="18"/>
  <c r="C46" i="18"/>
  <c r="C76" i="18"/>
  <c r="E4" i="15"/>
  <c r="D43" i="18"/>
  <c r="D45" i="18"/>
  <c r="E7" i="15"/>
  <c r="E23" i="18"/>
  <c r="E3" i="15"/>
  <c r="E43" i="18"/>
  <c r="E45" i="18"/>
  <c r="F44" i="18"/>
  <c r="E6" i="15"/>
  <c r="E22" i="18"/>
  <c r="E19" i="18"/>
  <c r="E72" i="18"/>
  <c r="E74" i="18"/>
  <c r="F6" i="15"/>
  <c r="F7" i="15"/>
  <c r="F23" i="18"/>
  <c r="D46" i="18"/>
  <c r="E44" i="18"/>
  <c r="E46" i="18"/>
  <c r="D73" i="18"/>
  <c r="G7" i="15"/>
  <c r="G23" i="18"/>
  <c r="E73" i="18"/>
  <c r="E76" i="18"/>
  <c r="E53" i="18"/>
  <c r="G6" i="15"/>
  <c r="F4" i="15"/>
  <c r="E20" i="18"/>
  <c r="K10" i="18"/>
  <c r="D20" i="18"/>
  <c r="D19" i="18"/>
  <c r="E21" i="15"/>
  <c r="D28" i="18"/>
  <c r="E52" i="18"/>
  <c r="E55" i="18"/>
  <c r="E56" i="18"/>
  <c r="E20" i="15"/>
  <c r="G23" i="15"/>
  <c r="D25" i="18"/>
  <c r="E18" i="15"/>
  <c r="M7" i="18"/>
  <c r="M10" i="18"/>
  <c r="B86" i="18"/>
  <c r="L10" i="18"/>
  <c r="G5" i="15"/>
  <c r="G43" i="18"/>
  <c r="F43" i="18"/>
  <c r="D76" i="18"/>
  <c r="G24" i="15"/>
  <c r="E26" i="18"/>
  <c r="F19" i="15"/>
  <c r="D22" i="18"/>
  <c r="D53" i="18"/>
  <c r="C63" i="18"/>
  <c r="C64" i="18"/>
  <c r="C68" i="18"/>
  <c r="F109" i="18"/>
  <c r="F110" i="18"/>
  <c r="B100" i="18"/>
  <c r="F26" i="18"/>
  <c r="G19" i="15"/>
  <c r="G26" i="18"/>
  <c r="E25" i="18"/>
  <c r="F18" i="15"/>
  <c r="E27" i="18"/>
  <c r="F20" i="15"/>
  <c r="F19" i="18"/>
  <c r="F20" i="18"/>
  <c r="G4" i="15"/>
  <c r="G22" i="18"/>
  <c r="B107" i="18"/>
  <c r="B108" i="18"/>
  <c r="B103" i="18"/>
  <c r="B101" i="18"/>
  <c r="F46" i="18"/>
  <c r="F45" i="18"/>
  <c r="D66" i="18"/>
  <c r="D67" i="18"/>
  <c r="D63" i="18"/>
  <c r="D62" i="18"/>
  <c r="G45" i="18"/>
  <c r="G73" i="18"/>
  <c r="E28" i="18"/>
  <c r="F21" i="15"/>
  <c r="F22" i="18"/>
  <c r="D72" i="18"/>
  <c r="D74" i="18"/>
  <c r="D30" i="18"/>
  <c r="D32" i="18"/>
  <c r="D52" i="18"/>
  <c r="D55" i="18"/>
  <c r="D56" i="18"/>
  <c r="F76" i="18"/>
  <c r="F53" i="18"/>
  <c r="D34" i="18"/>
  <c r="D35" i="18"/>
  <c r="D93" i="18"/>
  <c r="D95" i="18"/>
  <c r="D79" i="18"/>
  <c r="F28" i="18"/>
  <c r="G21" i="15"/>
  <c r="G28" i="18"/>
  <c r="F52" i="18"/>
  <c r="F55" i="18"/>
  <c r="F56" i="18"/>
  <c r="F72" i="18"/>
  <c r="E66" i="18"/>
  <c r="E67" i="18"/>
  <c r="E63" i="18"/>
  <c r="E62" i="18"/>
  <c r="E30" i="18"/>
  <c r="E32" i="18"/>
  <c r="D64" i="18"/>
  <c r="D68" i="18"/>
  <c r="D77" i="18"/>
  <c r="D78" i="18"/>
  <c r="F73" i="18"/>
  <c r="G44" i="18"/>
  <c r="G46" i="18"/>
  <c r="G20" i="15"/>
  <c r="G27" i="18"/>
  <c r="F27" i="18"/>
  <c r="G20" i="18"/>
  <c r="G19" i="18"/>
  <c r="B105" i="18"/>
  <c r="G18" i="15"/>
  <c r="G25" i="18"/>
  <c r="F25" i="18"/>
  <c r="F66" i="18"/>
  <c r="F67" i="18"/>
  <c r="F62" i="18"/>
  <c r="F64" i="18"/>
  <c r="F68" i="18"/>
  <c r="F77" i="18"/>
  <c r="F78" i="18"/>
  <c r="F63" i="18"/>
  <c r="G72" i="18"/>
  <c r="G74" i="18"/>
  <c r="G52" i="18"/>
  <c r="G55" i="18"/>
  <c r="G56" i="18"/>
  <c r="G30" i="18"/>
  <c r="G32" i="18"/>
  <c r="F74" i="18"/>
  <c r="G63" i="18"/>
  <c r="G62" i="18"/>
  <c r="G64" i="18"/>
  <c r="G68" i="18"/>
  <c r="G77" i="18"/>
  <c r="G66" i="18"/>
  <c r="G67" i="18"/>
  <c r="G76" i="18"/>
  <c r="G78" i="18"/>
  <c r="G53" i="18"/>
  <c r="E64" i="18"/>
  <c r="E68" i="18"/>
  <c r="E77" i="18"/>
  <c r="E78" i="18"/>
  <c r="E79" i="18"/>
  <c r="E80" i="18"/>
  <c r="E98" i="18"/>
  <c r="E99" i="18"/>
  <c r="F30" i="18"/>
  <c r="F32" i="18"/>
  <c r="F33" i="18"/>
  <c r="F34" i="18"/>
  <c r="F35" i="18"/>
  <c r="F93" i="18"/>
  <c r="F95" i="18"/>
  <c r="F100" i="18"/>
  <c r="F79" i="18"/>
  <c r="F80" i="18"/>
  <c r="F98" i="18"/>
  <c r="F99" i="18"/>
  <c r="G79" i="18"/>
  <c r="F101" i="18"/>
  <c r="F103" i="18"/>
  <c r="F107" i="18"/>
  <c r="F108" i="18"/>
  <c r="G80" i="18"/>
  <c r="G98" i="18"/>
  <c r="G99" i="18"/>
  <c r="G94" i="18"/>
  <c r="C78" i="18"/>
  <c r="C79" i="18"/>
  <c r="C80" i="18"/>
  <c r="C98" i="18"/>
  <c r="C99" i="18"/>
  <c r="D80" i="18"/>
  <c r="D98" i="18"/>
  <c r="D99" i="18"/>
  <c r="D100" i="18"/>
  <c r="C53" i="18"/>
  <c r="C55" i="18"/>
  <c r="C56" i="18"/>
  <c r="C77" i="18"/>
  <c r="G33" i="18"/>
  <c r="G34" i="18"/>
  <c r="G35" i="18"/>
  <c r="G93" i="18"/>
  <c r="G95" i="18"/>
  <c r="G100" i="18"/>
  <c r="D103" i="18"/>
  <c r="D107" i="18"/>
  <c r="D108" i="18"/>
  <c r="D101" i="18"/>
  <c r="G103" i="18"/>
  <c r="G101" i="18"/>
  <c r="G107" i="18"/>
  <c r="G108" i="18"/>
  <c r="C35" i="18"/>
  <c r="C93" i="18"/>
  <c r="C95" i="18"/>
  <c r="C100" i="18"/>
  <c r="C36" i="18"/>
  <c r="D36" i="18"/>
  <c r="E33" i="18"/>
  <c r="E34" i="18"/>
  <c r="E35" i="18"/>
  <c r="E93" i="18"/>
  <c r="E95" i="18"/>
  <c r="E100" i="18"/>
  <c r="E101" i="18"/>
  <c r="E107" i="18"/>
  <c r="E108" i="18"/>
  <c r="E103" i="18"/>
  <c r="C101" i="18"/>
  <c r="C103" i="18"/>
  <c r="C104" i="18"/>
  <c r="C107" i="18"/>
  <c r="C108" i="18"/>
  <c r="B111" i="18"/>
  <c r="C105" i="18"/>
  <c r="D105" i="18"/>
  <c r="E105" i="18"/>
  <c r="F105" i="18"/>
  <c r="B102" i="18"/>
  <c r="B106" i="18"/>
  <c r="G105" i="18"/>
</calcChain>
</file>

<file path=xl/sharedStrings.xml><?xml version="1.0" encoding="utf-8"?>
<sst xmlns="http://schemas.openxmlformats.org/spreadsheetml/2006/main" count="202" uniqueCount="142">
  <si>
    <t xml:space="preserve"> </t>
  </si>
  <si>
    <t>%</t>
  </si>
  <si>
    <t>meses</t>
  </si>
  <si>
    <t>anos</t>
  </si>
  <si>
    <t>unidade</t>
  </si>
  <si>
    <t>valor</t>
  </si>
  <si>
    <t>Rúbrica</t>
  </si>
  <si>
    <t>Indicador</t>
  </si>
  <si>
    <t>Horizonte Temporal do Projecto</t>
  </si>
  <si>
    <t>Prazo Médio Recebimento</t>
  </si>
  <si>
    <t>Preço de Venda</t>
  </si>
  <si>
    <t>DADOS PREVISIONAIS</t>
  </si>
  <si>
    <t>INDICADORES PREVISIONAIS</t>
  </si>
  <si>
    <t>Vendas de Mercadorias (Quant)</t>
  </si>
  <si>
    <t>Custos Variáveis FSE (%Vendas)</t>
  </si>
  <si>
    <t>Pessoal ao Serviço</t>
  </si>
  <si>
    <t>Quadros Superiores</t>
  </si>
  <si>
    <t>Quadros Técnicos</t>
  </si>
  <si>
    <t>Quadros Indiferenciados</t>
  </si>
  <si>
    <t>Outros Custos Operacionais</t>
  </si>
  <si>
    <t>MAPA DE EFECTIVOS</t>
  </si>
  <si>
    <t>MAPA DE INVESTIMENTOS</t>
  </si>
  <si>
    <t>Imóvel</t>
  </si>
  <si>
    <t>Tx Am</t>
  </si>
  <si>
    <t>Equipamento Administrativo</t>
  </si>
  <si>
    <t>Equipamento Informático</t>
  </si>
  <si>
    <t>Despesas de Instalação</t>
  </si>
  <si>
    <t>Custos Fixos FSE</t>
  </si>
  <si>
    <t>Taxa de actualização Real</t>
  </si>
  <si>
    <t>Taxa Retenção IRS Média</t>
  </si>
  <si>
    <t>Segurança Social Trabalhador</t>
  </si>
  <si>
    <t>Prazo Médio de Armazenagem Mercadorias</t>
  </si>
  <si>
    <t>Prazo Médio Pagamento (Mercadorias e FSE)</t>
  </si>
  <si>
    <t>Prazo Médio Pagamento SS e IRS</t>
  </si>
  <si>
    <t>Vencimento Médio Mensal (*)</t>
  </si>
  <si>
    <t>Segurança Social Empresa (**)</t>
  </si>
  <si>
    <t>(**) Não está incluído nos vencimentos apresentados sendo necessário calcular e acrescer o mesmo ao custo</t>
  </si>
  <si>
    <t>(*) Trabalhadores auferem 14 vencimentos anuais</t>
  </si>
  <si>
    <t>Margem Comercial (Sobre preço de venda)</t>
  </si>
  <si>
    <t>Taxa de Imposto sobre Lucros (*)</t>
  </si>
  <si>
    <t>Taxa de IVA (**)</t>
  </si>
  <si>
    <t>(**) Incide sobre Vendas e Compras de Mercadorias, FSE e Outros custos operacionais</t>
  </si>
  <si>
    <t>(*) Os prejuizos fiscais do exercício serão deduzidos aos lucros de um ou mais dos seis exercícios posteriores</t>
  </si>
  <si>
    <t>Turma:</t>
  </si>
  <si>
    <t>Elementos do Grupo</t>
  </si>
  <si>
    <t>Nome</t>
  </si>
  <si>
    <t>Nº</t>
  </si>
  <si>
    <t>Prazo Médio Pagamento IVA</t>
  </si>
  <si>
    <t>Equipamento Fabril A</t>
  </si>
  <si>
    <t>Equipamento Fabril B</t>
  </si>
  <si>
    <t>Equipamento Fabril C</t>
  </si>
  <si>
    <t>Quadros Intermédios</t>
  </si>
  <si>
    <t>Valor Residual de Liquidação (Valor de Mercado do Imobilizado (600.000 EUR) + Valor Contabilístico do Fundo de Maneio Necessário)</t>
  </si>
  <si>
    <t>GC2</t>
  </si>
  <si>
    <t>Ana Cláudia Nabiça Rosado</t>
  </si>
  <si>
    <t>Investimento</t>
  </si>
  <si>
    <t>Total</t>
  </si>
  <si>
    <t>Amortizações</t>
  </si>
  <si>
    <t>Valor de Aquisição</t>
  </si>
  <si>
    <t>Taxa de  Amort.</t>
  </si>
  <si>
    <t>Vida Útil</t>
  </si>
  <si>
    <t>DEMONSTRAÇÃO DE RESULTADOS</t>
  </si>
  <si>
    <t>Vendas</t>
  </si>
  <si>
    <t>EBITDA</t>
  </si>
  <si>
    <t>EBIT</t>
  </si>
  <si>
    <t>Imposto</t>
  </si>
  <si>
    <t>EBIT(1-t)</t>
  </si>
  <si>
    <t>Operational Cash Flow</t>
  </si>
  <si>
    <t>Ano 1</t>
  </si>
  <si>
    <t>Ano 2</t>
  </si>
  <si>
    <t>Ano 3</t>
  </si>
  <si>
    <t>Ano 4</t>
  </si>
  <si>
    <t>Ano 5</t>
  </si>
  <si>
    <t>Reinvestimento</t>
  </si>
  <si>
    <t>COMPRAS DE MERCADORIAS</t>
  </si>
  <si>
    <t>Custo Mercadorias Vendidas</t>
  </si>
  <si>
    <t>Existências Finais</t>
  </si>
  <si>
    <t>Compras</t>
  </si>
  <si>
    <t>Existências Iniciais*</t>
  </si>
  <si>
    <t>WORKING CAPITAL</t>
  </si>
  <si>
    <t>Necessidades Financeiras</t>
  </si>
  <si>
    <t>Clientes</t>
  </si>
  <si>
    <t>Existências</t>
  </si>
  <si>
    <t>Recursos Financeiros</t>
  </si>
  <si>
    <t>Working Capital</t>
  </si>
  <si>
    <t>Investimento em Work.Capital</t>
  </si>
  <si>
    <t>CASH FLOW</t>
  </si>
  <si>
    <t>Operational CF</t>
  </si>
  <si>
    <t>Valor Residual</t>
  </si>
  <si>
    <t>Invest. Cap Fixo</t>
  </si>
  <si>
    <t>Invest. Work Capital</t>
  </si>
  <si>
    <t>Cash Flow</t>
  </si>
  <si>
    <t>Cash Flow Actualizado</t>
  </si>
  <si>
    <t>VAL</t>
  </si>
  <si>
    <t>TIR</t>
  </si>
  <si>
    <t>Cash Flow Actualizado Acumulado</t>
  </si>
  <si>
    <t>PR</t>
  </si>
  <si>
    <t>Cash Flow + Inv.C.F.</t>
  </si>
  <si>
    <t>Cash Flow + Inv.C.F. Actualizado</t>
  </si>
  <si>
    <t>Investimento Actualizado</t>
  </si>
  <si>
    <t>IRP</t>
  </si>
  <si>
    <t>Custos comerciais</t>
  </si>
  <si>
    <t>FSE</t>
  </si>
  <si>
    <t>Custos Fixos</t>
  </si>
  <si>
    <t>Superiores</t>
  </si>
  <si>
    <t>Técnicos</t>
  </si>
  <si>
    <t>Intermédios</t>
  </si>
  <si>
    <t>Indiferenciados</t>
  </si>
  <si>
    <t>Custos Variáveis</t>
  </si>
  <si>
    <t>Gastos com Pessoal</t>
  </si>
  <si>
    <t>Unidade: Euros</t>
  </si>
  <si>
    <t>IVA Liquidado</t>
  </si>
  <si>
    <t>IVA Dedutível</t>
  </si>
  <si>
    <t>IVA a pagar (receber)</t>
  </si>
  <si>
    <t>Saldo em dívida</t>
  </si>
  <si>
    <t>Segurança Social</t>
  </si>
  <si>
    <t>Trabalhador</t>
  </si>
  <si>
    <t>Empresa</t>
  </si>
  <si>
    <t>Retenção de IRS na fonte</t>
  </si>
  <si>
    <t>Saldo Total em dívida</t>
  </si>
  <si>
    <t>Valor Residual de Liquidação</t>
  </si>
  <si>
    <t>TOTAL</t>
  </si>
  <si>
    <t>EOEP</t>
  </si>
  <si>
    <t>a) Amortizações acumuladas no final da vida útil do projecto</t>
  </si>
  <si>
    <t>b) Valor líquido contabilístico no final da vida útil do projecto</t>
  </si>
  <si>
    <t>Ana Rafaela Lopes da Silva</t>
  </si>
  <si>
    <t>Cátia Sofia de Pinho</t>
  </si>
  <si>
    <t>João Paulo Miró da Costa Rodrigues</t>
  </si>
  <si>
    <t>João Guilherme de Almeida</t>
  </si>
  <si>
    <t>(1) Os prejuízos fiscais apurados num determinado exercício serão deduzidos aos lucros tributáveis no decorrer de um ou mais dos seis exercícios posteriores</t>
  </si>
  <si>
    <t>Reporte de prejuízos (1)</t>
  </si>
  <si>
    <t>Fornecedores</t>
  </si>
  <si>
    <t>AMORTIZAÇÕES ANUAIS (QUOTAS CONSTANTES)</t>
  </si>
  <si>
    <t>ESTADO E OUTROS ENTES PÚBLICOS (IVA)</t>
  </si>
  <si>
    <t>ESTADO E OUTROS ENTES PÚBLICOS (SS+IRS)</t>
  </si>
  <si>
    <t>Tendo em conta que VAL &gt; 0; TIR &gt; r (10%); PR &lt; n e IRP &gt; 1, o projecto é economicamente viável, devendo ser aceite.</t>
  </si>
  <si>
    <t xml:space="preserve">DECISÃO: </t>
  </si>
  <si>
    <t>Amortizações Exercício</t>
  </si>
  <si>
    <r>
      <t>Amortizações Acumul</t>
    </r>
    <r>
      <rPr>
        <b/>
        <sz val="11"/>
        <rFont val="Calibri"/>
        <family val="2"/>
      </rPr>
      <t>ᵃ</t>
    </r>
  </si>
  <si>
    <r>
      <t>Valor Líquido Contabilístico</t>
    </r>
    <r>
      <rPr>
        <b/>
        <sz val="10"/>
        <rFont val="Calibri"/>
        <family val="2"/>
      </rPr>
      <t>ᵇ</t>
    </r>
  </si>
  <si>
    <t>* Pressupõe-se que não há existências iniciais no ano 1, dado o ínicio de actividade.</t>
  </si>
  <si>
    <t>Valor de Mercado do Imobilizado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</si>
</sst>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€&quot;_-;\-* #,##0\ &quot;€&quot;_-;_-* &quot;-&quot;\ &quot;€&quot;_-;_-@_-"/>
    <numFmt numFmtId="41" formatCode="_-* #,##0\ _€_-;\-* #,##0\ _€_-;_-* &quot;-&quot;\ _€_-;_-@_-"/>
    <numFmt numFmtId="175" formatCode="_(* #,##0.00_);_(* \(#,##0.00\);_(* &quot;-&quot;??_);_(@_)"/>
    <numFmt numFmtId="176" formatCode="_(* #,##0_);_(* \(#,##0\);_(* &quot;-&quot;??_);_(@_)"/>
    <numFmt numFmtId="179" formatCode="0.0%"/>
    <numFmt numFmtId="183" formatCode="#,##0.00\ &quot;€&quot;"/>
    <numFmt numFmtId="184" formatCode="\ #,##0_);[Red]\(\ #,##0\)"/>
    <numFmt numFmtId="187" formatCode="#,##0.00;[Red]#,##0.00"/>
  </numFmts>
  <fonts count="13" x14ac:knownFonts="1">
    <font>
      <sz val="8"/>
      <name val="Verdana"/>
      <family val="2"/>
    </font>
    <font>
      <sz val="10"/>
      <name val="Arial"/>
    </font>
    <font>
      <b/>
      <sz val="8"/>
      <color indexed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Book Antiqua"/>
      <family val="1"/>
    </font>
    <font>
      <sz val="8"/>
      <name val="Book Antiqua"/>
      <family val="1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9"/>
      <name val="Verdana"/>
      <family val="2"/>
    </font>
    <font>
      <b/>
      <sz val="1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59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76" fontId="4" fillId="0" borderId="0" xfId="3" applyNumberFormat="1" applyFont="1" applyBorder="1" applyAlignment="1">
      <alignment vertical="center"/>
    </xf>
    <xf numFmtId="9" fontId="0" fillId="0" borderId="0" xfId="0" applyNumberFormat="1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6" fontId="3" fillId="2" borderId="0" xfId="3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42" fontId="2" fillId="3" borderId="0" xfId="0" applyNumberFormat="1" applyFont="1" applyFill="1" applyBorder="1" applyAlignment="1">
      <alignment vertical="center"/>
    </xf>
    <xf numFmtId="41" fontId="3" fillId="4" borderId="0" xfId="0" applyNumberFormat="1" applyFont="1" applyFill="1" applyBorder="1" applyAlignment="1">
      <alignment horizontal="left" vertical="center" wrapText="1"/>
    </xf>
    <xf numFmtId="41" fontId="4" fillId="0" borderId="0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0" fontId="0" fillId="0" borderId="0" xfId="0" applyNumberFormat="1" applyFont="1" applyAlignment="1">
      <alignment vertical="center"/>
    </xf>
    <xf numFmtId="41" fontId="3" fillId="2" borderId="0" xfId="0" applyNumberFormat="1" applyFont="1" applyFill="1" applyBorder="1" applyAlignment="1">
      <alignment horizontal="left" vertical="center" wrapText="1"/>
    </xf>
    <xf numFmtId="10" fontId="3" fillId="2" borderId="0" xfId="2" applyNumberFormat="1" applyFont="1" applyFill="1" applyBorder="1" applyAlignment="1">
      <alignment horizontal="right" vertical="center" wrapText="1"/>
    </xf>
    <xf numFmtId="176" fontId="0" fillId="0" borderId="0" xfId="3" applyNumberFormat="1" applyFont="1" applyBorder="1" applyAlignment="1">
      <alignment vertical="center"/>
    </xf>
    <xf numFmtId="179" fontId="0" fillId="0" borderId="0" xfId="0" applyNumberFormat="1" applyFont="1" applyAlignment="1">
      <alignment vertical="center"/>
    </xf>
    <xf numFmtId="41" fontId="0" fillId="0" borderId="0" xfId="0" applyNumberFormat="1" applyFill="1" applyBorder="1" applyAlignment="1">
      <alignment horizontal="left" vertical="center" wrapText="1"/>
    </xf>
    <xf numFmtId="3" fontId="4" fillId="0" borderId="0" xfId="1" applyNumberFormat="1" applyFont="1" applyAlignment="1">
      <alignment vertical="center"/>
    </xf>
    <xf numFmtId="0" fontId="5" fillId="0" borderId="0" xfId="0" applyFont="1" applyAlignment="1"/>
    <xf numFmtId="0" fontId="6" fillId="0" borderId="0" xfId="0" applyFont="1" applyFill="1" applyBorder="1" applyAlignment="1"/>
    <xf numFmtId="176" fontId="0" fillId="0" borderId="0" xfId="3" applyNumberFormat="1" applyFont="1" applyFill="1" applyBorder="1" applyAlignment="1">
      <alignment vertical="center"/>
    </xf>
    <xf numFmtId="18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5" fillId="0" borderId="0" xfId="0" applyFont="1" applyAlignment="1">
      <alignment horizontal="left" inden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84" fontId="5" fillId="0" borderId="0" xfId="0" applyNumberFormat="1" applyFont="1" applyAlignment="1"/>
    <xf numFmtId="0" fontId="0" fillId="0" borderId="0" xfId="0" applyFill="1">
      <alignment vertical="center"/>
    </xf>
    <xf numFmtId="0" fontId="0" fillId="0" borderId="1" xfId="0" applyBorder="1">
      <alignment vertical="center"/>
    </xf>
    <xf numFmtId="176" fontId="4" fillId="0" borderId="2" xfId="3" applyNumberFormat="1" applyFont="1" applyBorder="1" applyAlignment="1">
      <alignment vertical="center"/>
    </xf>
    <xf numFmtId="176" fontId="0" fillId="0" borderId="2" xfId="3" applyNumberFormat="1" applyFont="1" applyBorder="1" applyAlignment="1">
      <alignment vertical="center"/>
    </xf>
    <xf numFmtId="176" fontId="3" fillId="2" borderId="3" xfId="3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right" vertical="center"/>
    </xf>
    <xf numFmtId="175" fontId="3" fillId="2" borderId="3" xfId="1" applyNumberFormat="1" applyFont="1" applyFill="1" applyBorder="1" applyAlignment="1">
      <alignment vertical="center"/>
    </xf>
    <xf numFmtId="175" fontId="4" fillId="0" borderId="2" xfId="3" applyNumberFormat="1" applyFont="1" applyBorder="1" applyAlignment="1">
      <alignment vertical="center"/>
    </xf>
    <xf numFmtId="175" fontId="4" fillId="0" borderId="0" xfId="1" applyNumberFormat="1" applyFont="1" applyBorder="1" applyAlignment="1">
      <alignment vertical="center"/>
    </xf>
    <xf numFmtId="175" fontId="0" fillId="0" borderId="2" xfId="3" applyNumberFormat="1" applyFont="1" applyBorder="1" applyAlignment="1">
      <alignment vertical="center"/>
    </xf>
    <xf numFmtId="175" fontId="0" fillId="0" borderId="2" xfId="0" applyNumberFormat="1" applyBorder="1">
      <alignment vertical="center"/>
    </xf>
    <xf numFmtId="175" fontId="0" fillId="0" borderId="0" xfId="0" applyNumberFormat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75" fontId="3" fillId="2" borderId="6" xfId="1" applyNumberFormat="1" applyFont="1" applyFill="1" applyBorder="1" applyAlignment="1">
      <alignment vertical="center"/>
    </xf>
    <xf numFmtId="175" fontId="3" fillId="2" borderId="7" xfId="3" applyNumberFormat="1" applyFont="1" applyFill="1" applyBorder="1" applyAlignment="1">
      <alignment vertical="center"/>
    </xf>
    <xf numFmtId="175" fontId="3" fillId="2" borderId="1" xfId="1" applyNumberFormat="1" applyFont="1" applyFill="1" applyBorder="1" applyAlignment="1">
      <alignment vertical="center"/>
    </xf>
    <xf numFmtId="175" fontId="3" fillId="2" borderId="8" xfId="1" applyNumberFormat="1" applyFont="1" applyFill="1" applyBorder="1" applyAlignment="1">
      <alignment vertical="center"/>
    </xf>
    <xf numFmtId="175" fontId="3" fillId="2" borderId="9" xfId="1" applyNumberFormat="1" applyFont="1" applyFill="1" applyBorder="1" applyAlignment="1">
      <alignment vertical="center"/>
    </xf>
    <xf numFmtId="175" fontId="0" fillId="0" borderId="1" xfId="0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176" fontId="3" fillId="2" borderId="4" xfId="3" applyNumberFormat="1" applyFont="1" applyFill="1" applyBorder="1" applyAlignment="1">
      <alignment vertical="center"/>
    </xf>
    <xf numFmtId="3" fontId="3" fillId="2" borderId="3" xfId="1" applyNumberFormat="1" applyFont="1" applyFill="1" applyBorder="1" applyAlignment="1">
      <alignment vertical="center"/>
    </xf>
    <xf numFmtId="176" fontId="3" fillId="2" borderId="7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176" fontId="3" fillId="2" borderId="1" xfId="3" applyNumberFormat="1" applyFont="1" applyFill="1" applyBorder="1" applyAlignment="1">
      <alignment vertical="center"/>
    </xf>
    <xf numFmtId="176" fontId="2" fillId="3" borderId="3" xfId="3" applyNumberFormat="1" applyFont="1" applyFill="1" applyBorder="1" applyAlignment="1">
      <alignment vertical="center"/>
    </xf>
    <xf numFmtId="176" fontId="3" fillId="0" borderId="2" xfId="3" applyNumberFormat="1" applyFont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4" fontId="0" fillId="0" borderId="10" xfId="0" applyNumberFormat="1" applyBorder="1">
      <alignment vertical="center"/>
    </xf>
    <xf numFmtId="176" fontId="3" fillId="0" borderId="4" xfId="3" applyNumberFormat="1" applyFont="1" applyBorder="1" applyAlignment="1">
      <alignment vertical="center"/>
    </xf>
    <xf numFmtId="0" fontId="0" fillId="0" borderId="4" xfId="0" applyBorder="1">
      <alignment vertical="center"/>
    </xf>
    <xf numFmtId="176" fontId="2" fillId="3" borderId="7" xfId="3" applyNumberFormat="1" applyFont="1" applyFill="1" applyBorder="1" applyAlignment="1">
      <alignment vertical="center"/>
    </xf>
    <xf numFmtId="176" fontId="3" fillId="2" borderId="7" xfId="3" applyNumberFormat="1" applyFont="1" applyFill="1" applyBorder="1" applyAlignment="1">
      <alignment horizontal="center" vertical="center" wrapText="1" shrinkToFit="1"/>
    </xf>
    <xf numFmtId="4" fontId="3" fillId="2" borderId="3" xfId="1" applyNumberFormat="1" applyFont="1" applyFill="1" applyBorder="1" applyAlignment="1">
      <alignment horizontal="center" vertical="center" wrapText="1" shrinkToFit="1"/>
    </xf>
    <xf numFmtId="4" fontId="3" fillId="2" borderId="3" xfId="3" applyNumberFormat="1" applyFont="1" applyFill="1" applyBorder="1" applyAlignment="1">
      <alignment horizontal="center" vertical="center" wrapText="1" shrinkToFit="1"/>
    </xf>
    <xf numFmtId="4" fontId="0" fillId="0" borderId="11" xfId="0" applyNumberFormat="1" applyFont="1" applyBorder="1" applyAlignment="1">
      <alignment vertical="center" wrapText="1"/>
    </xf>
    <xf numFmtId="176" fontId="3" fillId="2" borderId="7" xfId="3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vertical="center"/>
    </xf>
    <xf numFmtId="0" fontId="6" fillId="0" borderId="5" xfId="0" applyFont="1" applyBorder="1" applyAlignment="1"/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76" fontId="3" fillId="2" borderId="8" xfId="3" applyNumberFormat="1" applyFont="1" applyFill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0" fillId="0" borderId="10" xfId="3" applyNumberFormat="1" applyFont="1" applyBorder="1" applyAlignment="1">
      <alignment vertical="center"/>
    </xf>
    <xf numFmtId="176" fontId="3" fillId="2" borderId="8" xfId="3" applyNumberFormat="1" applyFont="1" applyFill="1" applyBorder="1" applyAlignment="1">
      <alignment vertical="center"/>
    </xf>
    <xf numFmtId="4" fontId="3" fillId="2" borderId="3" xfId="3" applyNumberFormat="1" applyFont="1" applyFill="1" applyBorder="1" applyAlignment="1">
      <alignment vertical="center"/>
    </xf>
    <xf numFmtId="4" fontId="4" fillId="0" borderId="3" xfId="1" applyNumberFormat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179" fontId="3" fillId="2" borderId="3" xfId="2" applyNumberFormat="1" applyFont="1" applyFill="1" applyBorder="1" applyAlignment="1">
      <alignment vertical="center"/>
    </xf>
    <xf numFmtId="176" fontId="3" fillId="2" borderId="3" xfId="1" applyNumberFormat="1" applyFont="1" applyFill="1" applyBorder="1" applyAlignment="1">
      <alignment vertical="center"/>
    </xf>
    <xf numFmtId="2" fontId="4" fillId="2" borderId="3" xfId="1" applyNumberFormat="1" applyFont="1" applyFill="1" applyBorder="1" applyAlignment="1">
      <alignment vertical="center"/>
    </xf>
    <xf numFmtId="4" fontId="4" fillId="0" borderId="11" xfId="1" applyNumberFormat="1" applyFont="1" applyBorder="1" applyAlignment="1">
      <alignment vertical="center"/>
    </xf>
    <xf numFmtId="4" fontId="4" fillId="0" borderId="12" xfId="1" applyNumberFormat="1" applyFont="1" applyBorder="1" applyAlignment="1">
      <alignment vertical="center"/>
    </xf>
    <xf numFmtId="4" fontId="3" fillId="2" borderId="12" xfId="3" applyNumberFormat="1" applyFont="1" applyFill="1" applyBorder="1" applyAlignment="1">
      <alignment vertical="center"/>
    </xf>
    <xf numFmtId="4" fontId="4" fillId="0" borderId="11" xfId="1" applyNumberFormat="1" applyFont="1" applyFill="1" applyBorder="1" applyAlignment="1">
      <alignment vertical="center"/>
    </xf>
    <xf numFmtId="4" fontId="0" fillId="0" borderId="11" xfId="0" applyNumberFormat="1" applyFill="1" applyBorder="1">
      <alignment vertical="center"/>
    </xf>
    <xf numFmtId="4" fontId="0" fillId="0" borderId="11" xfId="0" applyNumberFormat="1" applyBorder="1">
      <alignment vertical="center"/>
    </xf>
    <xf numFmtId="4" fontId="3" fillId="0" borderId="11" xfId="1" applyNumberFormat="1" applyFont="1" applyFill="1" applyBorder="1" applyAlignment="1">
      <alignment vertical="center"/>
    </xf>
    <xf numFmtId="42" fontId="2" fillId="3" borderId="7" xfId="1" applyNumberFormat="1" applyFont="1" applyFill="1" applyBorder="1" applyAlignment="1">
      <alignment vertical="center"/>
    </xf>
    <xf numFmtId="49" fontId="4" fillId="0" borderId="2" xfId="3" applyNumberFormat="1" applyFont="1" applyBorder="1" applyAlignment="1">
      <alignment vertical="center"/>
    </xf>
    <xf numFmtId="49" fontId="0" fillId="0" borderId="2" xfId="3" applyNumberFormat="1" applyFont="1" applyBorder="1" applyAlignment="1">
      <alignment vertical="center"/>
    </xf>
    <xf numFmtId="4" fontId="3" fillId="2" borderId="3" xfId="1" applyNumberFormat="1" applyFont="1" applyFill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187" fontId="3" fillId="2" borderId="3" xfId="1" applyNumberFormat="1" applyFont="1" applyFill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49" fontId="0" fillId="0" borderId="9" xfId="3" applyNumberFormat="1" applyFont="1" applyBorder="1" applyAlignment="1">
      <alignment vertical="center"/>
    </xf>
    <xf numFmtId="49" fontId="0" fillId="0" borderId="10" xfId="3" applyNumberFormat="1" applyFont="1" applyBorder="1" applyAlignment="1">
      <alignment vertical="center"/>
    </xf>
    <xf numFmtId="49" fontId="0" fillId="0" borderId="6" xfId="3" applyNumberFormat="1" applyFont="1" applyBorder="1" applyAlignment="1">
      <alignment vertical="center"/>
    </xf>
    <xf numFmtId="49" fontId="3" fillId="2" borderId="7" xfId="3" applyNumberFormat="1" applyFont="1" applyFill="1" applyBorder="1" applyAlignment="1">
      <alignment vertical="center"/>
    </xf>
    <xf numFmtId="49" fontId="3" fillId="2" borderId="8" xfId="1" applyNumberFormat="1" applyFont="1" applyFill="1" applyBorder="1" applyAlignment="1">
      <alignment vertical="center"/>
    </xf>
    <xf numFmtId="4" fontId="3" fillId="2" borderId="12" xfId="1" applyNumberFormat="1" applyFont="1" applyFill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0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4" fontId="0" fillId="0" borderId="10" xfId="0" applyNumberFormat="1" applyFont="1" applyBorder="1" applyAlignment="1">
      <alignment vertical="center" wrapText="1"/>
    </xf>
    <xf numFmtId="0" fontId="3" fillId="2" borderId="14" xfId="1" applyFont="1" applyFill="1" applyBorder="1" applyAlignment="1">
      <alignment horizontal="center" vertical="center" wrapText="1" shrinkToFit="1"/>
    </xf>
    <xf numFmtId="175" fontId="3" fillId="2" borderId="12" xfId="1" applyNumberFormat="1" applyFont="1" applyFill="1" applyBorder="1" applyAlignment="1">
      <alignment vertical="center"/>
    </xf>
    <xf numFmtId="4" fontId="0" fillId="0" borderId="9" xfId="0" applyNumberFormat="1" applyFont="1" applyBorder="1" applyAlignment="1">
      <alignment vertical="center" wrapText="1"/>
    </xf>
    <xf numFmtId="4" fontId="0" fillId="0" borderId="6" xfId="0" applyNumberFormat="1" applyFont="1" applyBorder="1" applyAlignment="1">
      <alignment vertical="center" wrapText="1"/>
    </xf>
    <xf numFmtId="49" fontId="4" fillId="0" borderId="7" xfId="3" applyNumberFormat="1" applyFont="1" applyBorder="1" applyAlignment="1">
      <alignment vertical="center"/>
    </xf>
    <xf numFmtId="0" fontId="0" fillId="0" borderId="3" xfId="0" applyBorder="1">
      <alignment vertical="center"/>
    </xf>
    <xf numFmtId="0" fontId="5" fillId="0" borderId="3" xfId="0" applyFont="1" applyBorder="1" applyAlignment="1"/>
    <xf numFmtId="3" fontId="0" fillId="0" borderId="3" xfId="0" applyNumberFormat="1" applyBorder="1">
      <alignment vertical="center"/>
    </xf>
    <xf numFmtId="176" fontId="4" fillId="0" borderId="7" xfId="3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176" fontId="8" fillId="2" borderId="0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2" fontId="10" fillId="3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2" fontId="2" fillId="3" borderId="0" xfId="1" applyNumberFormat="1" applyFont="1" applyFill="1" applyBorder="1" applyAlignment="1">
      <alignment horizontal="left" vertical="center"/>
    </xf>
    <xf numFmtId="42" fontId="2" fillId="3" borderId="7" xfId="1" applyNumberFormat="1" applyFont="1" applyFill="1" applyBorder="1" applyAlignment="1">
      <alignment horizontal="left" vertical="center"/>
    </xf>
    <xf numFmtId="42" fontId="2" fillId="3" borderId="1" xfId="1" applyNumberFormat="1" applyFont="1" applyFill="1" applyBorder="1" applyAlignment="1">
      <alignment horizontal="left" vertical="center"/>
    </xf>
    <xf numFmtId="42" fontId="2" fillId="3" borderId="8" xfId="1" applyNumberFormat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42" fontId="2" fillId="3" borderId="4" xfId="1" applyNumberFormat="1" applyFont="1" applyFill="1" applyBorder="1" applyAlignment="1">
      <alignment horizontal="left" vertical="center"/>
    </xf>
    <xf numFmtId="42" fontId="2" fillId="3" borderId="5" xfId="1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Percentagem" xfId="2" builtinId="5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4C4C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05074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C10" sqref="C10"/>
    </sheetView>
  </sheetViews>
  <sheetFormatPr defaultRowHeight="10.5" x14ac:dyDescent="0.15"/>
  <cols>
    <col min="1" max="1" width="22.28515625" bestFit="1" customWidth="1"/>
    <col min="2" max="2" width="37.28515625" customWidth="1"/>
  </cols>
  <sheetData>
    <row r="1" spans="1:2" ht="11.25" x14ac:dyDescent="0.15">
      <c r="A1" s="128" t="s">
        <v>43</v>
      </c>
      <c r="B1" s="129" t="s">
        <v>53</v>
      </c>
    </row>
    <row r="2" spans="1:2" ht="11.25" x14ac:dyDescent="0.15">
      <c r="A2" s="129"/>
      <c r="B2" s="129"/>
    </row>
    <row r="3" spans="1:2" ht="11.25" x14ac:dyDescent="0.15">
      <c r="A3" s="130" t="s">
        <v>44</v>
      </c>
      <c r="B3" s="130"/>
    </row>
    <row r="4" spans="1:2" ht="11.25" x14ac:dyDescent="0.15">
      <c r="A4" s="128" t="s">
        <v>46</v>
      </c>
      <c r="B4" s="131" t="s">
        <v>45</v>
      </c>
    </row>
    <row r="5" spans="1:2" ht="11.25" x14ac:dyDescent="0.15">
      <c r="A5" s="129">
        <v>54613</v>
      </c>
      <c r="B5" s="129" t="s">
        <v>54</v>
      </c>
    </row>
    <row r="6" spans="1:2" ht="11.25" x14ac:dyDescent="0.15">
      <c r="A6" s="129">
        <v>54592</v>
      </c>
      <c r="B6" s="129" t="s">
        <v>125</v>
      </c>
    </row>
    <row r="7" spans="1:2" ht="11.25" x14ac:dyDescent="0.15">
      <c r="A7" s="129">
        <v>54533</v>
      </c>
      <c r="B7" s="129" t="s">
        <v>126</v>
      </c>
    </row>
    <row r="8" spans="1:2" ht="11.25" x14ac:dyDescent="0.15">
      <c r="A8" s="129">
        <v>54459</v>
      </c>
      <c r="B8" s="129" t="s">
        <v>128</v>
      </c>
    </row>
    <row r="9" spans="1:2" ht="11.25" x14ac:dyDescent="0.15">
      <c r="A9" s="129">
        <v>54547</v>
      </c>
      <c r="B9" s="129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0" workbookViewId="0">
      <selection activeCell="F41" sqref="F41"/>
    </sheetView>
  </sheetViews>
  <sheetFormatPr defaultRowHeight="10.5" x14ac:dyDescent="0.15"/>
  <cols>
    <col min="1" max="1" width="38.7109375" style="1" bestFit="1" customWidth="1"/>
    <col min="2" max="7" width="8.85546875" style="1" customWidth="1"/>
    <col min="8" max="8" width="8.28515625" style="1" customWidth="1"/>
    <col min="9" max="16384" width="9.140625" style="1"/>
  </cols>
  <sheetData>
    <row r="1" spans="1:7" ht="14.25" customHeight="1" x14ac:dyDescent="0.15">
      <c r="A1" s="12" t="s">
        <v>11</v>
      </c>
      <c r="B1" s="12"/>
      <c r="C1" s="12"/>
      <c r="D1" s="12"/>
      <c r="E1" s="12"/>
      <c r="F1" s="12"/>
      <c r="G1" s="12"/>
    </row>
    <row r="2" spans="1:7" x14ac:dyDescent="0.15">
      <c r="A2" s="8" t="s">
        <v>6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</row>
    <row r="3" spans="1:7" x14ac:dyDescent="0.15">
      <c r="A3" s="3" t="s">
        <v>13</v>
      </c>
      <c r="B3" s="9" t="s">
        <v>0</v>
      </c>
      <c r="C3" s="9">
        <v>100000</v>
      </c>
      <c r="D3" s="9">
        <f>C3*1.5</f>
        <v>150000</v>
      </c>
      <c r="E3" s="9">
        <f>D3*1.2</f>
        <v>180000</v>
      </c>
      <c r="F3" s="9">
        <v>200000</v>
      </c>
      <c r="G3" s="9">
        <f t="shared" ref="G3:G8" si="0">F3</f>
        <v>200000</v>
      </c>
    </row>
    <row r="4" spans="1:7" x14ac:dyDescent="0.15">
      <c r="A4" s="3" t="s">
        <v>10</v>
      </c>
      <c r="B4" s="9"/>
      <c r="C4" s="9">
        <v>10</v>
      </c>
      <c r="D4" s="9">
        <f t="shared" ref="D4:F7" si="1">C4</f>
        <v>10</v>
      </c>
      <c r="E4" s="9">
        <f t="shared" si="1"/>
        <v>10</v>
      </c>
      <c r="F4" s="9">
        <f t="shared" si="1"/>
        <v>10</v>
      </c>
      <c r="G4" s="9">
        <f t="shared" si="0"/>
        <v>10</v>
      </c>
    </row>
    <row r="5" spans="1:7" x14ac:dyDescent="0.15">
      <c r="A5" s="19" t="s">
        <v>38</v>
      </c>
      <c r="B5" s="9"/>
      <c r="C5" s="10">
        <v>0.6</v>
      </c>
      <c r="D5" s="10">
        <f t="shared" si="1"/>
        <v>0.6</v>
      </c>
      <c r="E5" s="10">
        <f t="shared" si="1"/>
        <v>0.6</v>
      </c>
      <c r="F5" s="10">
        <f t="shared" si="1"/>
        <v>0.6</v>
      </c>
      <c r="G5" s="10">
        <f t="shared" si="0"/>
        <v>0.6</v>
      </c>
    </row>
    <row r="6" spans="1:7" x14ac:dyDescent="0.15">
      <c r="A6" s="3" t="s">
        <v>14</v>
      </c>
      <c r="B6" s="9"/>
      <c r="C6" s="10">
        <v>0.13</v>
      </c>
      <c r="D6" s="10">
        <f t="shared" si="1"/>
        <v>0.13</v>
      </c>
      <c r="E6" s="10">
        <f t="shared" si="1"/>
        <v>0.13</v>
      </c>
      <c r="F6" s="10">
        <f t="shared" si="1"/>
        <v>0.13</v>
      </c>
      <c r="G6" s="10">
        <f t="shared" si="0"/>
        <v>0.13</v>
      </c>
    </row>
    <row r="7" spans="1:7" x14ac:dyDescent="0.15">
      <c r="A7" s="3" t="s">
        <v>27</v>
      </c>
      <c r="B7" s="9"/>
      <c r="C7" s="9">
        <v>150000</v>
      </c>
      <c r="D7" s="9">
        <f t="shared" si="1"/>
        <v>150000</v>
      </c>
      <c r="E7" s="9">
        <f t="shared" si="1"/>
        <v>150000</v>
      </c>
      <c r="F7" s="9">
        <f t="shared" si="1"/>
        <v>150000</v>
      </c>
      <c r="G7" s="9">
        <f t="shared" si="0"/>
        <v>150000</v>
      </c>
    </row>
    <row r="8" spans="1:7" x14ac:dyDescent="0.15">
      <c r="A8" s="3" t="s">
        <v>19</v>
      </c>
      <c r="B8" s="9"/>
      <c r="C8" s="9">
        <v>100000</v>
      </c>
      <c r="D8" s="9">
        <v>125000</v>
      </c>
      <c r="E8" s="9">
        <v>175000</v>
      </c>
      <c r="F8" s="9">
        <v>200000.00001300001</v>
      </c>
      <c r="G8" s="9">
        <f t="shared" si="0"/>
        <v>200000.00001300001</v>
      </c>
    </row>
    <row r="11" spans="1:7" ht="14.25" customHeight="1" x14ac:dyDescent="0.15">
      <c r="A11" s="12" t="s">
        <v>20</v>
      </c>
      <c r="B11" s="12"/>
      <c r="C11" s="12"/>
      <c r="D11" s="12"/>
      <c r="E11" s="12"/>
      <c r="F11" s="12"/>
      <c r="G11" s="12"/>
    </row>
    <row r="12" spans="1:7" x14ac:dyDescent="0.15">
      <c r="A12" s="13" t="s">
        <v>15</v>
      </c>
      <c r="B12" s="2"/>
      <c r="C12" s="2">
        <v>1</v>
      </c>
      <c r="D12" s="2">
        <v>2</v>
      </c>
      <c r="E12" s="2">
        <v>3</v>
      </c>
      <c r="F12" s="2">
        <v>4</v>
      </c>
      <c r="G12" s="2">
        <v>5</v>
      </c>
    </row>
    <row r="13" spans="1:7" x14ac:dyDescent="0.15">
      <c r="A13" s="14" t="s">
        <v>16</v>
      </c>
      <c r="B13" s="14"/>
      <c r="C13" s="15">
        <v>1</v>
      </c>
      <c r="D13" s="15">
        <v>2</v>
      </c>
      <c r="E13" s="15">
        <f t="shared" ref="E13:G14" si="2">D13</f>
        <v>2</v>
      </c>
      <c r="F13" s="15">
        <f t="shared" si="2"/>
        <v>2</v>
      </c>
      <c r="G13" s="15">
        <f t="shared" si="2"/>
        <v>2</v>
      </c>
    </row>
    <row r="14" spans="1:7" x14ac:dyDescent="0.15">
      <c r="A14" s="14" t="s">
        <v>17</v>
      </c>
      <c r="B14" s="14"/>
      <c r="C14" s="15">
        <v>3</v>
      </c>
      <c r="D14" s="15">
        <v>4</v>
      </c>
      <c r="E14" s="15">
        <f t="shared" si="2"/>
        <v>4</v>
      </c>
      <c r="F14" s="15">
        <f t="shared" si="2"/>
        <v>4</v>
      </c>
      <c r="G14" s="15">
        <f t="shared" si="2"/>
        <v>4</v>
      </c>
    </row>
    <row r="15" spans="1:7" x14ac:dyDescent="0.15">
      <c r="A15" s="21" t="s">
        <v>51</v>
      </c>
      <c r="B15" s="14"/>
      <c r="C15" s="15">
        <v>3</v>
      </c>
      <c r="D15" s="15">
        <v>3</v>
      </c>
      <c r="E15" s="15">
        <v>4</v>
      </c>
      <c r="F15" s="15">
        <v>4</v>
      </c>
      <c r="G15" s="15">
        <v>4</v>
      </c>
    </row>
    <row r="16" spans="1:7" x14ac:dyDescent="0.15">
      <c r="A16" s="14" t="s">
        <v>18</v>
      </c>
      <c r="B16" s="14"/>
      <c r="C16" s="15">
        <v>2</v>
      </c>
      <c r="D16" s="15">
        <v>3</v>
      </c>
      <c r="E16" s="15">
        <v>4</v>
      </c>
      <c r="F16" s="15">
        <v>4</v>
      </c>
      <c r="G16" s="15">
        <v>4</v>
      </c>
    </row>
    <row r="17" spans="1:8" x14ac:dyDescent="0.15">
      <c r="A17" s="13" t="s">
        <v>34</v>
      </c>
      <c r="B17" s="13"/>
      <c r="C17" s="15"/>
      <c r="D17" s="15"/>
      <c r="E17" s="15"/>
      <c r="F17" s="15"/>
      <c r="G17" s="15"/>
    </row>
    <row r="18" spans="1:8" x14ac:dyDescent="0.15">
      <c r="A18" s="14" t="s">
        <v>16</v>
      </c>
      <c r="B18" s="14"/>
      <c r="C18" s="15">
        <v>2500</v>
      </c>
      <c r="D18" s="15">
        <f t="shared" ref="D18:G20" si="3">C18</f>
        <v>2500</v>
      </c>
      <c r="E18" s="15">
        <f t="shared" si="3"/>
        <v>2500</v>
      </c>
      <c r="F18" s="15">
        <f t="shared" si="3"/>
        <v>2500</v>
      </c>
      <c r="G18" s="15">
        <f t="shared" si="3"/>
        <v>2500</v>
      </c>
    </row>
    <row r="19" spans="1:8" x14ac:dyDescent="0.15">
      <c r="A19" s="14" t="s">
        <v>17</v>
      </c>
      <c r="B19" s="14"/>
      <c r="C19" s="15">
        <v>1500</v>
      </c>
      <c r="D19" s="15">
        <f t="shared" si="3"/>
        <v>1500</v>
      </c>
      <c r="E19" s="15">
        <f t="shared" si="3"/>
        <v>1500</v>
      </c>
      <c r="F19" s="15">
        <f t="shared" si="3"/>
        <v>1500</v>
      </c>
      <c r="G19" s="15">
        <f t="shared" si="3"/>
        <v>1500</v>
      </c>
    </row>
    <row r="20" spans="1:8" x14ac:dyDescent="0.15">
      <c r="A20" s="21" t="s">
        <v>51</v>
      </c>
      <c r="B20" s="14"/>
      <c r="C20" s="15">
        <v>1000</v>
      </c>
      <c r="D20" s="15">
        <f t="shared" si="3"/>
        <v>1000</v>
      </c>
      <c r="E20" s="15">
        <f t="shared" si="3"/>
        <v>1000</v>
      </c>
      <c r="F20" s="15">
        <f t="shared" si="3"/>
        <v>1000</v>
      </c>
      <c r="G20" s="15">
        <f t="shared" si="3"/>
        <v>1000</v>
      </c>
    </row>
    <row r="21" spans="1:8" x14ac:dyDescent="0.15">
      <c r="A21" s="14" t="s">
        <v>18</v>
      </c>
      <c r="B21" s="14"/>
      <c r="C21" s="15">
        <v>750</v>
      </c>
      <c r="D21" s="15">
        <f>C21</f>
        <v>750</v>
      </c>
      <c r="E21" s="15">
        <f>D21</f>
        <v>750</v>
      </c>
      <c r="F21" s="15">
        <f>E21</f>
        <v>750</v>
      </c>
      <c r="G21" s="15">
        <f>F21</f>
        <v>750</v>
      </c>
    </row>
    <row r="22" spans="1:8" x14ac:dyDescent="0.15">
      <c r="A22" s="17" t="s">
        <v>29</v>
      </c>
      <c r="B22" s="17"/>
      <c r="C22" s="18">
        <v>0.15</v>
      </c>
      <c r="D22" s="18">
        <v>0.15</v>
      </c>
      <c r="E22" s="18">
        <v>0.15</v>
      </c>
      <c r="F22" s="18">
        <v>0.15</v>
      </c>
      <c r="G22" s="18">
        <v>0.15</v>
      </c>
    </row>
    <row r="23" spans="1:8" x14ac:dyDescent="0.15">
      <c r="A23" s="17" t="s">
        <v>30</v>
      </c>
      <c r="B23" s="17"/>
      <c r="C23" s="18">
        <v>0.11</v>
      </c>
      <c r="D23" s="18">
        <f t="shared" ref="D23:G24" si="4">C23</f>
        <v>0.11</v>
      </c>
      <c r="E23" s="18">
        <f t="shared" si="4"/>
        <v>0.11</v>
      </c>
      <c r="F23" s="18">
        <f t="shared" si="4"/>
        <v>0.11</v>
      </c>
      <c r="G23" s="18">
        <f t="shared" si="4"/>
        <v>0.11</v>
      </c>
    </row>
    <row r="24" spans="1:8" x14ac:dyDescent="0.15">
      <c r="A24" s="17" t="s">
        <v>35</v>
      </c>
      <c r="B24" s="17"/>
      <c r="C24" s="18">
        <v>0.23749999999999999</v>
      </c>
      <c r="D24" s="18">
        <f t="shared" si="4"/>
        <v>0.23749999999999999</v>
      </c>
      <c r="E24" s="18">
        <f t="shared" si="4"/>
        <v>0.23749999999999999</v>
      </c>
      <c r="F24" s="18">
        <f t="shared" si="4"/>
        <v>0.23749999999999999</v>
      </c>
      <c r="G24" s="18">
        <f t="shared" si="4"/>
        <v>0.23749999999999999</v>
      </c>
    </row>
    <row r="25" spans="1:8" x14ac:dyDescent="0.15">
      <c r="A25" s="19" t="s">
        <v>37</v>
      </c>
      <c r="B25" s="9"/>
      <c r="C25" s="9"/>
      <c r="D25" s="9"/>
      <c r="E25" s="9"/>
      <c r="F25" s="9"/>
      <c r="G25" s="9"/>
    </row>
    <row r="26" spans="1:8" x14ac:dyDescent="0.15">
      <c r="A26" s="19" t="s">
        <v>36</v>
      </c>
      <c r="B26" s="9"/>
      <c r="C26" s="9"/>
      <c r="D26" s="9"/>
      <c r="E26" s="9"/>
      <c r="F26" s="9"/>
      <c r="G26" s="9"/>
    </row>
    <row r="27" spans="1:8" x14ac:dyDescent="0.15">
      <c r="A27" s="19"/>
      <c r="B27" s="9"/>
      <c r="C27" s="9"/>
      <c r="D27" s="9"/>
      <c r="E27" s="9"/>
      <c r="F27" s="9"/>
      <c r="G27" s="9"/>
    </row>
    <row r="28" spans="1:8" x14ac:dyDescent="0.15">
      <c r="A28" s="3"/>
      <c r="B28" s="9"/>
      <c r="C28" s="9"/>
      <c r="D28" s="9"/>
      <c r="E28" s="9"/>
      <c r="F28" s="9"/>
      <c r="G28" s="9"/>
    </row>
    <row r="29" spans="1:8" ht="14.25" customHeight="1" x14ac:dyDescent="0.15">
      <c r="A29" s="12" t="s">
        <v>21</v>
      </c>
      <c r="B29" s="12"/>
      <c r="C29" s="12"/>
      <c r="D29" s="12"/>
      <c r="E29" s="12"/>
      <c r="F29" s="12"/>
      <c r="G29" s="12"/>
      <c r="H29" s="12"/>
    </row>
    <row r="30" spans="1:8" x14ac:dyDescent="0.15">
      <c r="A30" s="8" t="s">
        <v>6</v>
      </c>
      <c r="B30" s="2">
        <v>0</v>
      </c>
      <c r="C30" s="2">
        <v>1</v>
      </c>
      <c r="D30" s="2">
        <v>2</v>
      </c>
      <c r="E30" s="2">
        <v>3</v>
      </c>
      <c r="F30" s="2">
        <v>4</v>
      </c>
      <c r="G30" s="2">
        <v>5</v>
      </c>
      <c r="H30" s="2" t="s">
        <v>23</v>
      </c>
    </row>
    <row r="31" spans="1:8" x14ac:dyDescent="0.15">
      <c r="A31" s="3" t="s">
        <v>22</v>
      </c>
      <c r="B31" s="9">
        <v>350000</v>
      </c>
      <c r="C31" s="9"/>
      <c r="D31" s="9"/>
      <c r="E31" s="9"/>
      <c r="F31" s="9"/>
      <c r="G31" s="9"/>
      <c r="H31" s="16">
        <v>0.05</v>
      </c>
    </row>
    <row r="32" spans="1:8" x14ac:dyDescent="0.15">
      <c r="A32" s="19" t="s">
        <v>48</v>
      </c>
      <c r="B32" s="9">
        <v>150000</v>
      </c>
      <c r="C32" s="9"/>
      <c r="D32" s="9"/>
      <c r="E32" s="9"/>
      <c r="F32" s="9">
        <v>150000</v>
      </c>
      <c r="G32" s="9"/>
      <c r="H32" s="16">
        <v>0.25</v>
      </c>
    </row>
    <row r="33" spans="1:8" x14ac:dyDescent="0.15">
      <c r="A33" s="19" t="s">
        <v>49</v>
      </c>
      <c r="B33" s="9"/>
      <c r="C33" s="9"/>
      <c r="D33" s="9">
        <v>200000</v>
      </c>
      <c r="E33" s="9"/>
      <c r="F33" s="9"/>
      <c r="G33" s="9"/>
      <c r="H33" s="16">
        <v>0.25</v>
      </c>
    </row>
    <row r="34" spans="1:8" x14ac:dyDescent="0.15">
      <c r="A34" s="19" t="s">
        <v>50</v>
      </c>
      <c r="B34" s="9">
        <v>100000</v>
      </c>
      <c r="C34" s="9"/>
      <c r="D34" s="9"/>
      <c r="E34" s="9"/>
      <c r="F34" s="9">
        <v>100000</v>
      </c>
      <c r="G34" s="9"/>
      <c r="H34" s="16">
        <v>0.25</v>
      </c>
    </row>
    <row r="35" spans="1:8" x14ac:dyDescent="0.15">
      <c r="A35" s="3" t="s">
        <v>24</v>
      </c>
      <c r="B35" s="9">
        <v>35000</v>
      </c>
      <c r="C35" s="9"/>
      <c r="D35" s="9"/>
      <c r="E35" s="9"/>
      <c r="F35" s="9"/>
      <c r="G35" s="9"/>
      <c r="H35" s="16">
        <v>0.15</v>
      </c>
    </row>
    <row r="36" spans="1:8" x14ac:dyDescent="0.15">
      <c r="A36" s="3" t="s">
        <v>25</v>
      </c>
      <c r="B36" s="9">
        <v>20000</v>
      </c>
      <c r="C36" s="9"/>
      <c r="D36" s="9"/>
      <c r="E36" s="9"/>
      <c r="F36" s="9">
        <f>B36</f>
        <v>20000</v>
      </c>
      <c r="G36" s="9"/>
      <c r="H36" s="16">
        <v>0.25</v>
      </c>
    </row>
    <row r="37" spans="1:8" x14ac:dyDescent="0.15">
      <c r="A37" s="3" t="s">
        <v>26</v>
      </c>
      <c r="B37" s="9">
        <v>5000</v>
      </c>
      <c r="C37" s="9"/>
      <c r="D37" s="9"/>
      <c r="E37" s="9"/>
      <c r="F37" s="9"/>
      <c r="G37" s="9"/>
      <c r="H37" s="16">
        <v>0.33333333333333298</v>
      </c>
    </row>
    <row r="38" spans="1:8" x14ac:dyDescent="0.15">
      <c r="A38" s="3"/>
      <c r="B38" s="9"/>
      <c r="C38" s="9"/>
      <c r="D38" s="9"/>
      <c r="E38" s="9"/>
      <c r="F38" s="9"/>
      <c r="G38" s="9"/>
      <c r="H38" s="16"/>
    </row>
    <row r="39" spans="1:8" x14ac:dyDescent="0.15">
      <c r="A39" s="3"/>
      <c r="B39" s="9"/>
      <c r="C39" s="9"/>
      <c r="D39" s="9"/>
      <c r="E39" s="9"/>
      <c r="F39" s="9"/>
      <c r="G39" s="9"/>
      <c r="H39" s="16"/>
    </row>
    <row r="40" spans="1:8" ht="14.25" customHeight="1" x14ac:dyDescent="0.15">
      <c r="A40" s="12" t="s">
        <v>12</v>
      </c>
      <c r="B40" s="12"/>
      <c r="C40" s="12"/>
    </row>
    <row r="41" spans="1:8" x14ac:dyDescent="0.15">
      <c r="A41" s="8" t="s">
        <v>7</v>
      </c>
      <c r="B41" s="5" t="s">
        <v>4</v>
      </c>
      <c r="C41" s="5" t="s">
        <v>5</v>
      </c>
    </row>
    <row r="42" spans="1:8" x14ac:dyDescent="0.15">
      <c r="A42" s="3" t="s">
        <v>8</v>
      </c>
      <c r="B42" s="6" t="s">
        <v>3</v>
      </c>
      <c r="C42" s="1">
        <v>5</v>
      </c>
    </row>
    <row r="43" spans="1:8" x14ac:dyDescent="0.15">
      <c r="A43" s="3" t="s">
        <v>9</v>
      </c>
      <c r="B43" s="6" t="s">
        <v>2</v>
      </c>
      <c r="C43" s="1">
        <v>1</v>
      </c>
    </row>
    <row r="44" spans="1:8" x14ac:dyDescent="0.15">
      <c r="A44" s="19" t="s">
        <v>32</v>
      </c>
      <c r="B44" s="6" t="s">
        <v>2</v>
      </c>
      <c r="C44" s="1">
        <v>4</v>
      </c>
    </row>
    <row r="45" spans="1:8" x14ac:dyDescent="0.15">
      <c r="A45" s="19" t="s">
        <v>31</v>
      </c>
      <c r="B45" s="6" t="s">
        <v>2</v>
      </c>
      <c r="C45" s="1">
        <v>1</v>
      </c>
    </row>
    <row r="46" spans="1:8" x14ac:dyDescent="0.15">
      <c r="A46" s="19" t="s">
        <v>33</v>
      </c>
      <c r="B46" s="6" t="s">
        <v>2</v>
      </c>
      <c r="C46" s="11">
        <v>1</v>
      </c>
    </row>
    <row r="47" spans="1:8" x14ac:dyDescent="0.15">
      <c r="A47" s="19" t="s">
        <v>47</v>
      </c>
      <c r="B47" s="6" t="s">
        <v>2</v>
      </c>
      <c r="C47" s="11">
        <v>2</v>
      </c>
    </row>
    <row r="48" spans="1:8" x14ac:dyDescent="0.15">
      <c r="A48" s="19" t="s">
        <v>39</v>
      </c>
      <c r="B48" s="7" t="s">
        <v>1</v>
      </c>
      <c r="C48" s="20">
        <v>0.27500000000000002</v>
      </c>
    </row>
    <row r="49" spans="1:3" x14ac:dyDescent="0.15">
      <c r="A49" s="3" t="s">
        <v>28</v>
      </c>
      <c r="B49" s="6" t="s">
        <v>1</v>
      </c>
      <c r="C49" s="4">
        <v>0.1</v>
      </c>
    </row>
    <row r="50" spans="1:3" x14ac:dyDescent="0.15">
      <c r="A50" s="19" t="s">
        <v>40</v>
      </c>
      <c r="B50" s="6" t="s">
        <v>1</v>
      </c>
      <c r="C50" s="4">
        <v>0.23</v>
      </c>
    </row>
    <row r="51" spans="1:3" x14ac:dyDescent="0.15">
      <c r="A51" s="19" t="s">
        <v>52</v>
      </c>
    </row>
    <row r="53" spans="1:3" x14ac:dyDescent="0.15">
      <c r="A53" s="19" t="s">
        <v>42</v>
      </c>
    </row>
    <row r="54" spans="1:3" x14ac:dyDescent="0.15">
      <c r="A54" s="19" t="s">
        <v>41</v>
      </c>
    </row>
  </sheetData>
  <phoneticPr fontId="0" type="noConversion"/>
  <pageMargins left="0.75" right="0.75" top="1" bottom="1" header="0.5" footer="0.5"/>
  <pageSetup paperSize="9"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topLeftCell="A79" zoomScale="110" zoomScaleNormal="110" workbookViewId="0">
      <selection activeCell="A113" sqref="A113"/>
    </sheetView>
  </sheetViews>
  <sheetFormatPr defaultRowHeight="10.5" x14ac:dyDescent="0.15"/>
  <cols>
    <col min="1" max="1" width="34.42578125" customWidth="1"/>
    <col min="2" max="2" width="19" customWidth="1"/>
    <col min="3" max="3" width="16.28515625" customWidth="1"/>
    <col min="4" max="4" width="13.42578125" bestFit="1" customWidth="1"/>
    <col min="5" max="5" width="19.42578125" customWidth="1"/>
    <col min="6" max="6" width="20.5703125" customWidth="1"/>
    <col min="7" max="7" width="22.28515625" customWidth="1"/>
    <col min="8" max="8" width="15.85546875" customWidth="1"/>
    <col min="9" max="10" width="13.140625" bestFit="1" customWidth="1"/>
    <col min="11" max="11" width="16" customWidth="1"/>
    <col min="12" max="12" width="16.7109375" customWidth="1"/>
    <col min="13" max="13" width="15.140625" bestFit="1" customWidth="1"/>
  </cols>
  <sheetData>
    <row r="1" spans="1:13" ht="13.5" x14ac:dyDescent="0.25">
      <c r="A1" s="132" t="s">
        <v>132</v>
      </c>
      <c r="B1" s="132"/>
      <c r="C1" s="132"/>
      <c r="D1" s="132"/>
      <c r="E1" s="132"/>
      <c r="F1" s="23"/>
      <c r="G1" s="23"/>
      <c r="H1" s="116"/>
      <c r="M1" s="37" t="s">
        <v>110</v>
      </c>
    </row>
    <row r="2" spans="1:13" ht="25.5" x14ac:dyDescent="0.15">
      <c r="A2" s="65"/>
      <c r="B2" s="118"/>
      <c r="C2" s="66" t="s">
        <v>58</v>
      </c>
      <c r="D2" s="66" t="s">
        <v>59</v>
      </c>
      <c r="E2" s="66" t="s">
        <v>60</v>
      </c>
      <c r="F2" s="66" t="s">
        <v>68</v>
      </c>
      <c r="G2" s="66" t="s">
        <v>69</v>
      </c>
      <c r="H2" s="67" t="s">
        <v>70</v>
      </c>
      <c r="I2" s="66" t="s">
        <v>71</v>
      </c>
      <c r="J2" s="66" t="s">
        <v>72</v>
      </c>
      <c r="K2" s="66" t="s">
        <v>137</v>
      </c>
      <c r="L2" s="66" t="s">
        <v>138</v>
      </c>
      <c r="M2" s="66" t="s">
        <v>139</v>
      </c>
    </row>
    <row r="3" spans="1:13" x14ac:dyDescent="0.15">
      <c r="A3" s="95" t="s">
        <v>22</v>
      </c>
      <c r="B3" s="120"/>
      <c r="C3" s="117">
        <v>350000</v>
      </c>
      <c r="D3" s="68">
        <v>0.05</v>
      </c>
      <c r="E3" s="68">
        <v>20</v>
      </c>
      <c r="F3" s="68">
        <f>$C3*$D3</f>
        <v>17500</v>
      </c>
      <c r="G3" s="68">
        <f t="shared" ref="G3:J6" si="0">$C3*$D3</f>
        <v>17500</v>
      </c>
      <c r="H3" s="68">
        <f t="shared" si="0"/>
        <v>17500</v>
      </c>
      <c r="I3" s="68">
        <f t="shared" si="0"/>
        <v>17500</v>
      </c>
      <c r="J3" s="68">
        <f>$C3*$D3</f>
        <v>17500</v>
      </c>
      <c r="K3" s="68">
        <f t="shared" ref="K3:K9" si="1">D3*C3</f>
        <v>17500</v>
      </c>
      <c r="L3" s="68">
        <f>K3*5</f>
        <v>87500</v>
      </c>
      <c r="M3" s="68">
        <f>C3-L3</f>
        <v>262500</v>
      </c>
    </row>
    <row r="4" spans="1:13" x14ac:dyDescent="0.15">
      <c r="A4" s="96" t="s">
        <v>48</v>
      </c>
      <c r="B4" s="117"/>
      <c r="C4" s="117">
        <v>150000</v>
      </c>
      <c r="D4" s="68">
        <v>0.25</v>
      </c>
      <c r="E4" s="68">
        <v>4</v>
      </c>
      <c r="F4" s="68">
        <f>$C4*$D4</f>
        <v>37500</v>
      </c>
      <c r="G4" s="68">
        <f t="shared" si="0"/>
        <v>37500</v>
      </c>
      <c r="H4" s="68">
        <f t="shared" si="0"/>
        <v>37500</v>
      </c>
      <c r="I4" s="68">
        <f t="shared" si="0"/>
        <v>37500</v>
      </c>
      <c r="J4" s="68">
        <f t="shared" si="0"/>
        <v>37500</v>
      </c>
      <c r="K4" s="68">
        <f t="shared" si="1"/>
        <v>37500</v>
      </c>
      <c r="L4" s="68">
        <f>J4</f>
        <v>37500</v>
      </c>
      <c r="M4" s="68">
        <f t="shared" ref="M4:M9" si="2">C4-L4</f>
        <v>112500</v>
      </c>
    </row>
    <row r="5" spans="1:13" x14ac:dyDescent="0.15">
      <c r="A5" s="96" t="s">
        <v>49</v>
      </c>
      <c r="B5" s="117"/>
      <c r="C5" s="117">
        <v>200000</v>
      </c>
      <c r="D5" s="68">
        <v>0.25</v>
      </c>
      <c r="E5" s="68">
        <v>4</v>
      </c>
      <c r="F5" s="68">
        <v>0</v>
      </c>
      <c r="G5" s="68">
        <v>0</v>
      </c>
      <c r="H5" s="68">
        <f t="shared" si="0"/>
        <v>50000</v>
      </c>
      <c r="I5" s="68">
        <f t="shared" si="0"/>
        <v>50000</v>
      </c>
      <c r="J5" s="68">
        <f t="shared" si="0"/>
        <v>50000</v>
      </c>
      <c r="K5" s="68">
        <f t="shared" si="1"/>
        <v>50000</v>
      </c>
      <c r="L5" s="68">
        <f>K5*3</f>
        <v>150000</v>
      </c>
      <c r="M5" s="68">
        <f t="shared" si="2"/>
        <v>50000</v>
      </c>
    </row>
    <row r="6" spans="1:13" x14ac:dyDescent="0.15">
      <c r="A6" s="96" t="s">
        <v>50</v>
      </c>
      <c r="B6" s="117"/>
      <c r="C6" s="117">
        <v>100000</v>
      </c>
      <c r="D6" s="68">
        <v>0.25</v>
      </c>
      <c r="E6" s="68">
        <v>4</v>
      </c>
      <c r="F6" s="68">
        <f>$C6*$D6</f>
        <v>25000</v>
      </c>
      <c r="G6" s="68">
        <f>$C6*$D6</f>
        <v>25000</v>
      </c>
      <c r="H6" s="68">
        <f>$C6*$D6</f>
        <v>25000</v>
      </c>
      <c r="I6" s="68">
        <f t="shared" si="0"/>
        <v>25000</v>
      </c>
      <c r="J6" s="68">
        <f t="shared" si="0"/>
        <v>25000</v>
      </c>
      <c r="K6" s="68">
        <f t="shared" si="1"/>
        <v>25000</v>
      </c>
      <c r="L6" s="68">
        <f>J6</f>
        <v>25000</v>
      </c>
      <c r="M6" s="68">
        <f t="shared" si="2"/>
        <v>75000</v>
      </c>
    </row>
    <row r="7" spans="1:13" x14ac:dyDescent="0.15">
      <c r="A7" s="95" t="s">
        <v>24</v>
      </c>
      <c r="B7" s="117"/>
      <c r="C7" s="117">
        <v>35000</v>
      </c>
      <c r="D7" s="68">
        <v>0.15</v>
      </c>
      <c r="E7" s="68">
        <v>6.67</v>
      </c>
      <c r="F7" s="68">
        <f t="shared" ref="F7:J9" si="3">$C7*$D7</f>
        <v>5250</v>
      </c>
      <c r="G7" s="68">
        <f t="shared" si="3"/>
        <v>5250</v>
      </c>
      <c r="H7" s="68">
        <f t="shared" si="3"/>
        <v>5250</v>
      </c>
      <c r="I7" s="68">
        <f t="shared" si="3"/>
        <v>5250</v>
      </c>
      <c r="J7" s="68">
        <f t="shared" si="3"/>
        <v>5250</v>
      </c>
      <c r="K7" s="68">
        <f t="shared" si="1"/>
        <v>5250</v>
      </c>
      <c r="L7" s="68">
        <f>K7*5</f>
        <v>26250</v>
      </c>
      <c r="M7" s="68">
        <f t="shared" si="2"/>
        <v>8750</v>
      </c>
    </row>
    <row r="8" spans="1:13" x14ac:dyDescent="0.15">
      <c r="A8" s="95" t="s">
        <v>25</v>
      </c>
      <c r="B8" s="117"/>
      <c r="C8" s="117">
        <v>20000</v>
      </c>
      <c r="D8" s="68">
        <v>0.25</v>
      </c>
      <c r="E8" s="68">
        <v>4</v>
      </c>
      <c r="F8" s="68">
        <f>$C8*$D8</f>
        <v>5000</v>
      </c>
      <c r="G8" s="68">
        <f t="shared" si="3"/>
        <v>5000</v>
      </c>
      <c r="H8" s="68">
        <f t="shared" si="3"/>
        <v>5000</v>
      </c>
      <c r="I8" s="68">
        <f t="shared" si="3"/>
        <v>5000</v>
      </c>
      <c r="J8" s="68">
        <f t="shared" si="3"/>
        <v>5000</v>
      </c>
      <c r="K8" s="68">
        <f t="shared" si="1"/>
        <v>5000</v>
      </c>
      <c r="L8" s="68">
        <f>J8</f>
        <v>5000</v>
      </c>
      <c r="M8" s="68">
        <f t="shared" si="2"/>
        <v>15000</v>
      </c>
    </row>
    <row r="9" spans="1:13" x14ac:dyDescent="0.15">
      <c r="A9" s="95" t="s">
        <v>26</v>
      </c>
      <c r="B9" s="121"/>
      <c r="C9" s="117">
        <v>5000</v>
      </c>
      <c r="D9" s="68">
        <v>0.33333333333333298</v>
      </c>
      <c r="E9" s="68">
        <v>3</v>
      </c>
      <c r="F9" s="68">
        <f t="shared" si="3"/>
        <v>1666.6666666666649</v>
      </c>
      <c r="G9" s="68">
        <f t="shared" si="3"/>
        <v>1666.6666666666649</v>
      </c>
      <c r="H9" s="68">
        <f t="shared" si="3"/>
        <v>1666.6666666666649</v>
      </c>
      <c r="I9" s="68"/>
      <c r="J9" s="68"/>
      <c r="K9" s="68">
        <f t="shared" si="1"/>
        <v>1666.6666666666649</v>
      </c>
      <c r="L9" s="68">
        <f>K9*3</f>
        <v>4999.9999999999945</v>
      </c>
      <c r="M9" s="68">
        <f t="shared" si="2"/>
        <v>0</v>
      </c>
    </row>
    <row r="10" spans="1:13" x14ac:dyDescent="0.15">
      <c r="A10" s="38" t="s">
        <v>56</v>
      </c>
      <c r="B10" s="119"/>
      <c r="C10" s="38">
        <f>SUM(C3:C9)</f>
        <v>860000</v>
      </c>
      <c r="D10" s="38"/>
      <c r="E10" s="38"/>
      <c r="F10" s="38">
        <f t="shared" ref="F10:L10" si="4">SUM(F3:F9)</f>
        <v>91916.666666666672</v>
      </c>
      <c r="G10" s="38">
        <f t="shared" si="4"/>
        <v>91916.666666666672</v>
      </c>
      <c r="H10" s="38">
        <f t="shared" si="4"/>
        <v>141916.66666666666</v>
      </c>
      <c r="I10" s="38">
        <f t="shared" si="4"/>
        <v>140250</v>
      </c>
      <c r="J10" s="38">
        <f t="shared" si="4"/>
        <v>140250</v>
      </c>
      <c r="K10" s="38">
        <f t="shared" si="4"/>
        <v>141916.66666666666</v>
      </c>
      <c r="L10" s="38">
        <f t="shared" si="4"/>
        <v>336250</v>
      </c>
      <c r="M10" s="38">
        <f>SUM(M3:M9)</f>
        <v>523750</v>
      </c>
    </row>
    <row r="11" spans="1:13" ht="13.5" x14ac:dyDescent="0.25">
      <c r="A11" s="122" t="s">
        <v>73</v>
      </c>
      <c r="B11" s="33"/>
      <c r="C11" s="123"/>
      <c r="D11" s="123"/>
      <c r="E11" s="123"/>
      <c r="F11" s="124"/>
      <c r="G11" s="124"/>
      <c r="H11" s="124"/>
      <c r="I11" s="125">
        <f>SUM(Dados!F31:F37)</f>
        <v>270000</v>
      </c>
      <c r="J11" s="123"/>
      <c r="K11" s="123"/>
      <c r="L11" s="123"/>
      <c r="M11" s="123"/>
    </row>
    <row r="12" spans="1:13" ht="13.5" x14ac:dyDescent="0.25">
      <c r="F12" s="23"/>
      <c r="G12" s="23"/>
      <c r="H12" s="23"/>
    </row>
    <row r="13" spans="1:13" ht="13.5" x14ac:dyDescent="0.25">
      <c r="A13" s="24" t="s">
        <v>123</v>
      </c>
      <c r="B13" s="24"/>
      <c r="F13" s="23"/>
      <c r="G13" s="23"/>
      <c r="H13" s="23"/>
    </row>
    <row r="14" spans="1:13" ht="12.75" x14ac:dyDescent="0.25">
      <c r="A14" s="24" t="s">
        <v>124</v>
      </c>
      <c r="B14" s="24"/>
    </row>
    <row r="15" spans="1:13" ht="13.5" x14ac:dyDescent="0.25">
      <c r="C15" s="23"/>
      <c r="D15" s="23"/>
      <c r="E15" s="23"/>
    </row>
    <row r="17" spans="1:9" x14ac:dyDescent="0.15">
      <c r="A17" s="132" t="s">
        <v>61</v>
      </c>
      <c r="B17" s="132"/>
      <c r="C17" s="132"/>
      <c r="D17" s="132"/>
      <c r="E17" s="132"/>
      <c r="G17" s="37" t="s">
        <v>110</v>
      </c>
    </row>
    <row r="18" spans="1:9" x14ac:dyDescent="0.15">
      <c r="A18" s="69" t="s">
        <v>6</v>
      </c>
      <c r="B18" s="70"/>
      <c r="C18" s="71" t="s">
        <v>68</v>
      </c>
      <c r="D18" s="71" t="s">
        <v>69</v>
      </c>
      <c r="E18" s="71" t="s">
        <v>70</v>
      </c>
      <c r="F18" s="71" t="s">
        <v>71</v>
      </c>
      <c r="G18" s="71" t="s">
        <v>72</v>
      </c>
    </row>
    <row r="19" spans="1:9" x14ac:dyDescent="0.15">
      <c r="A19" s="39" t="s">
        <v>62</v>
      </c>
      <c r="B19" s="40"/>
      <c r="C19" s="87">
        <f>Dados!C3*Dados!C4</f>
        <v>1000000</v>
      </c>
      <c r="D19" s="87">
        <f>Dados!D3*Dados!D4</f>
        <v>1500000</v>
      </c>
      <c r="E19" s="87">
        <f>Dados!E3*Dados!E4</f>
        <v>1800000</v>
      </c>
      <c r="F19" s="87">
        <f>Dados!F3*Dados!F4</f>
        <v>2000000</v>
      </c>
      <c r="G19" s="87">
        <f>Dados!G3*Dados!G4</f>
        <v>2000000</v>
      </c>
    </row>
    <row r="20" spans="1:9" x14ac:dyDescent="0.15">
      <c r="A20" s="41" t="s">
        <v>101</v>
      </c>
      <c r="B20" s="40"/>
      <c r="C20" s="87">
        <f>(Dados!C4-(Dados!C4*Dados!C5))*Dados!C3</f>
        <v>400000</v>
      </c>
      <c r="D20" s="87">
        <f>(Dados!D4-(Dados!D4*Dados!D5))*Dados!D3</f>
        <v>600000</v>
      </c>
      <c r="E20" s="87">
        <f>(Dados!E4-(Dados!E4*Dados!E5))*Dados!E3</f>
        <v>720000</v>
      </c>
      <c r="F20" s="87">
        <f>(Dados!F4-(Dados!F4*Dados!F5))*Dados!F3</f>
        <v>800000</v>
      </c>
      <c r="G20" s="87">
        <f>(Dados!G4-(Dados!G4*Dados!G5))*Dados!G3</f>
        <v>800000</v>
      </c>
    </row>
    <row r="21" spans="1:9" x14ac:dyDescent="0.15">
      <c r="A21" s="42" t="s">
        <v>102</v>
      </c>
      <c r="B21" s="43"/>
      <c r="C21" s="92"/>
      <c r="D21" s="92"/>
      <c r="E21" s="92"/>
      <c r="F21" s="92"/>
      <c r="G21" s="92"/>
    </row>
    <row r="22" spans="1:9" x14ac:dyDescent="0.15">
      <c r="A22" s="42"/>
      <c r="B22" s="43" t="s">
        <v>108</v>
      </c>
      <c r="C22" s="92">
        <f>Dados!C$6*(Dados!C$4*Dados!C$3)</f>
        <v>130000</v>
      </c>
      <c r="D22" s="92">
        <f>Dados!D$6*(Dados!D$4*Dados!D$3)</f>
        <v>195000</v>
      </c>
      <c r="E22" s="92">
        <f>Dados!E$6*(Dados!E$4*Dados!E$3)</f>
        <v>234000</v>
      </c>
      <c r="F22" s="92">
        <f>Dados!F$6*(Dados!F$4*Dados!F$3)</f>
        <v>260000</v>
      </c>
      <c r="G22" s="92">
        <f>Dados!G$6*(Dados!G$4*Dados!G$3)</f>
        <v>260000</v>
      </c>
    </row>
    <row r="23" spans="1:9" x14ac:dyDescent="0.15">
      <c r="A23" s="42"/>
      <c r="B23" s="43" t="s">
        <v>103</v>
      </c>
      <c r="C23" s="92">
        <f>Dados!C$7</f>
        <v>150000</v>
      </c>
      <c r="D23" s="92">
        <f>Dados!D$7</f>
        <v>150000</v>
      </c>
      <c r="E23" s="92">
        <f>Dados!E$7</f>
        <v>150000</v>
      </c>
      <c r="F23" s="92">
        <f>Dados!F$7</f>
        <v>150000</v>
      </c>
      <c r="G23" s="92">
        <f>Dados!G$7</f>
        <v>150000</v>
      </c>
    </row>
    <row r="24" spans="1:9" x14ac:dyDescent="0.15">
      <c r="A24" s="42" t="s">
        <v>109</v>
      </c>
      <c r="B24" s="43"/>
      <c r="C24" s="92"/>
      <c r="D24" s="92"/>
      <c r="E24" s="92"/>
      <c r="F24" s="92"/>
      <c r="G24" s="92"/>
    </row>
    <row r="25" spans="1:9" x14ac:dyDescent="0.15">
      <c r="A25" s="42"/>
      <c r="B25" s="43" t="s">
        <v>104</v>
      </c>
      <c r="C25" s="92">
        <f>(Dados!C$18*Dados!C$13)*14*(1+Dados!C$24)</f>
        <v>43312.5</v>
      </c>
      <c r="D25" s="92">
        <f>(Dados!D$18*Dados!D$13)*14*(1+Dados!D$24)</f>
        <v>86625</v>
      </c>
      <c r="E25" s="92">
        <f>(Dados!E$18*Dados!E$13)*14*(1+Dados!E$24)</f>
        <v>86625</v>
      </c>
      <c r="F25" s="92">
        <f>(Dados!F$18*Dados!F$13)*14*(1+Dados!F$24)</f>
        <v>86625</v>
      </c>
      <c r="G25" s="92">
        <f>(Dados!G$18*Dados!G$13)*14*(1+Dados!G$24)</f>
        <v>86625</v>
      </c>
    </row>
    <row r="26" spans="1:9" x14ac:dyDescent="0.15">
      <c r="A26" s="42"/>
      <c r="B26" s="43" t="s">
        <v>105</v>
      </c>
      <c r="C26" s="92">
        <f>(Dados!C$19*Dados!C$14)*14*(1+Dados!C$24)</f>
        <v>77962.5</v>
      </c>
      <c r="D26" s="92">
        <f>(Dados!D$19*Dados!D$14)*14*(1+Dados!D$24)</f>
        <v>103950</v>
      </c>
      <c r="E26" s="92">
        <f>(Dados!E$19*Dados!E$14)*14*(1+Dados!E$24)</f>
        <v>103950</v>
      </c>
      <c r="F26" s="92">
        <f>(Dados!F$19*Dados!F$14)*14*(1+Dados!F$24)</f>
        <v>103950</v>
      </c>
      <c r="G26" s="92">
        <f>(Dados!G$19*Dados!G$14)*14*(1+Dados!G$24)</f>
        <v>103950</v>
      </c>
    </row>
    <row r="27" spans="1:9" x14ac:dyDescent="0.15">
      <c r="A27" s="42"/>
      <c r="B27" s="43" t="s">
        <v>106</v>
      </c>
      <c r="C27" s="92">
        <f>(Dados!C$20*Dados!C$15)*14*(1+Dados!C$24)</f>
        <v>51975</v>
      </c>
      <c r="D27" s="92">
        <f>(Dados!D$20*Dados!D$15)*14*(1+Dados!D$24)</f>
        <v>51975</v>
      </c>
      <c r="E27" s="92">
        <f>(Dados!E$20*Dados!E$15)*14*(1+Dados!E$24)</f>
        <v>69300</v>
      </c>
      <c r="F27" s="92">
        <f>(Dados!F$20*Dados!F$15)*14*(1+Dados!F$24)</f>
        <v>69300</v>
      </c>
      <c r="G27" s="92">
        <f>(Dados!G$20*Dados!G$15)*14*(1+Dados!G$24)</f>
        <v>69300</v>
      </c>
    </row>
    <row r="28" spans="1:9" x14ac:dyDescent="0.15">
      <c r="A28" s="42"/>
      <c r="B28" s="43" t="s">
        <v>107</v>
      </c>
      <c r="C28" s="92">
        <f>(Dados!C$21*Dados!C$16)*14*(1+Dados!C$24)</f>
        <v>25987.5</v>
      </c>
      <c r="D28" s="92">
        <f>(Dados!D$21*Dados!D$16)*14*(1+Dados!D$24)</f>
        <v>38981.25</v>
      </c>
      <c r="E28" s="92">
        <f>(Dados!E$21*Dados!E$16)*14*(1+Dados!E$24)</f>
        <v>51975</v>
      </c>
      <c r="F28" s="92">
        <f>(Dados!F$21*Dados!F$16)*14*(1+Dados!F$24)</f>
        <v>51975</v>
      </c>
      <c r="G28" s="92">
        <f>(Dados!G$21*Dados!G$16)*14*(1+Dados!G$24)</f>
        <v>51975</v>
      </c>
    </row>
    <row r="29" spans="1:9" x14ac:dyDescent="0.15">
      <c r="A29" s="41" t="s">
        <v>19</v>
      </c>
      <c r="B29" s="40"/>
      <c r="C29" s="87">
        <f>Dados!C$8</f>
        <v>100000</v>
      </c>
      <c r="D29" s="87">
        <f>Dados!D$8</f>
        <v>125000</v>
      </c>
      <c r="E29" s="87">
        <f>Dados!E$8</f>
        <v>175000</v>
      </c>
      <c r="F29" s="87">
        <f>Dados!F$8</f>
        <v>200000.00001300001</v>
      </c>
      <c r="G29" s="87">
        <f>Dados!G$8</f>
        <v>200000.00001300001</v>
      </c>
      <c r="H29" s="1"/>
      <c r="I29" s="1"/>
    </row>
    <row r="30" spans="1:9" x14ac:dyDescent="0.15">
      <c r="A30" s="47" t="s">
        <v>63</v>
      </c>
      <c r="B30" s="48"/>
      <c r="C30" s="97">
        <f>C19-SUM(C$20:C$29)</f>
        <v>20762.5</v>
      </c>
      <c r="D30" s="97">
        <f>D19-SUM(D$20:D$29)</f>
        <v>148468.75</v>
      </c>
      <c r="E30" s="97">
        <f>E19-SUM(E$20:E$29)</f>
        <v>209150</v>
      </c>
      <c r="F30" s="97">
        <f>F19-SUM(F$20:F$29)</f>
        <v>278149.9999869999</v>
      </c>
      <c r="G30" s="97">
        <f>G19-SUM(G$20:G$29)</f>
        <v>278149.9999869999</v>
      </c>
      <c r="H30" s="1"/>
      <c r="I30" s="1"/>
    </row>
    <row r="31" spans="1:9" x14ac:dyDescent="0.15">
      <c r="A31" s="39" t="s">
        <v>57</v>
      </c>
      <c r="B31" s="40"/>
      <c r="C31" s="87">
        <f>F10</f>
        <v>91916.666666666672</v>
      </c>
      <c r="D31" s="87">
        <f>G10</f>
        <v>91916.666666666672</v>
      </c>
      <c r="E31" s="87">
        <f>H10</f>
        <v>141916.66666666666</v>
      </c>
      <c r="F31" s="87">
        <f>I10</f>
        <v>140250</v>
      </c>
      <c r="G31" s="87">
        <f>J10</f>
        <v>140250</v>
      </c>
      <c r="H31" s="1"/>
      <c r="I31" s="1"/>
    </row>
    <row r="32" spans="1:9" x14ac:dyDescent="0.15">
      <c r="A32" s="47" t="s">
        <v>64</v>
      </c>
      <c r="B32" s="48"/>
      <c r="C32" s="100">
        <f>C30-C31</f>
        <v>-71154.166666666672</v>
      </c>
      <c r="D32" s="97">
        <f>D30-D31</f>
        <v>56552.083333333328</v>
      </c>
      <c r="E32" s="97">
        <f>E30-E31</f>
        <v>67233.333333333343</v>
      </c>
      <c r="F32" s="97">
        <f>F30-F31</f>
        <v>137899.9999869999</v>
      </c>
      <c r="G32" s="97">
        <f>G30-G31</f>
        <v>137899.9999869999</v>
      </c>
      <c r="H32" s="1"/>
      <c r="I32" s="1"/>
    </row>
    <row r="33" spans="1:9" x14ac:dyDescent="0.15">
      <c r="A33" s="39" t="s">
        <v>65</v>
      </c>
      <c r="B33" s="40"/>
      <c r="C33" s="101"/>
      <c r="D33" s="87"/>
      <c r="E33" s="87">
        <f>(E32-D36)*Dados!C48</f>
        <v>14473.593750000002</v>
      </c>
      <c r="F33" s="87">
        <f>(F32*Dados!$C$48)</f>
        <v>37922.499996424973</v>
      </c>
      <c r="G33" s="87">
        <f>(G32*Dados!$C$48)</f>
        <v>37922.499996424973</v>
      </c>
      <c r="H33" s="1"/>
      <c r="I33" s="1"/>
    </row>
    <row r="34" spans="1:9" x14ac:dyDescent="0.15">
      <c r="A34" s="47" t="s">
        <v>66</v>
      </c>
      <c r="B34" s="48"/>
      <c r="C34" s="100">
        <f>C32-C33</f>
        <v>-71154.166666666672</v>
      </c>
      <c r="D34" s="97">
        <f>D32-D33</f>
        <v>56552.083333333328</v>
      </c>
      <c r="E34" s="97">
        <f>E32-E33</f>
        <v>52759.739583333343</v>
      </c>
      <c r="F34" s="97">
        <f>F32-F33</f>
        <v>99977.499990574928</v>
      </c>
      <c r="G34" s="97">
        <f>G32-G33</f>
        <v>99977.499990574928</v>
      </c>
      <c r="H34" s="1"/>
      <c r="I34" s="1"/>
    </row>
    <row r="35" spans="1:9" x14ac:dyDescent="0.15">
      <c r="A35" s="44" t="s">
        <v>67</v>
      </c>
      <c r="B35" s="45"/>
      <c r="C35" s="98">
        <f>C34+C31</f>
        <v>20762.5</v>
      </c>
      <c r="D35" s="98">
        <f>D34+D31</f>
        <v>148468.75</v>
      </c>
      <c r="E35" s="98">
        <f>E34+E31</f>
        <v>194676.40625</v>
      </c>
      <c r="F35" s="98">
        <f>F34+F31</f>
        <v>240227.49999057493</v>
      </c>
      <c r="G35" s="98">
        <f>G34+G31</f>
        <v>240227.49999057493</v>
      </c>
      <c r="H35" s="1"/>
      <c r="I35" s="1"/>
    </row>
    <row r="36" spans="1:9" x14ac:dyDescent="0.15">
      <c r="A36" s="44" t="s">
        <v>130</v>
      </c>
      <c r="B36" s="51"/>
      <c r="C36" s="99">
        <f>-C34</f>
        <v>71154.166666666672</v>
      </c>
      <c r="D36" s="99">
        <f>C36-D32</f>
        <v>14602.083333333343</v>
      </c>
      <c r="E36" s="99"/>
      <c r="F36" s="99"/>
      <c r="G36" s="99"/>
      <c r="H36" s="1"/>
      <c r="I36" s="1"/>
    </row>
    <row r="37" spans="1:9" x14ac:dyDescent="0.15">
      <c r="A37" s="27"/>
      <c r="B37" s="27"/>
      <c r="C37" s="27"/>
      <c r="D37" s="27"/>
      <c r="E37" s="27"/>
      <c r="F37" s="27"/>
      <c r="G37" s="27"/>
      <c r="H37" s="1"/>
      <c r="I37" s="1"/>
    </row>
    <row r="38" spans="1:9" x14ac:dyDescent="0.15">
      <c r="A38" s="19" t="s">
        <v>129</v>
      </c>
      <c r="B38" s="27"/>
      <c r="C38" s="27"/>
      <c r="D38" s="27"/>
      <c r="E38" s="27"/>
      <c r="F38" s="27"/>
      <c r="G38" s="27"/>
      <c r="H38" s="1"/>
      <c r="I38" s="1"/>
    </row>
    <row r="39" spans="1:9" x14ac:dyDescent="0.15">
      <c r="A39" s="1"/>
      <c r="B39" s="1"/>
      <c r="C39" s="26"/>
      <c r="D39" s="26"/>
      <c r="E39" s="26"/>
      <c r="F39" s="26"/>
      <c r="G39" s="26"/>
      <c r="H39" s="1"/>
      <c r="I39" s="1"/>
    </row>
    <row r="40" spans="1:9" x14ac:dyDescent="0.15">
      <c r="A40" s="1"/>
      <c r="B40" s="1"/>
      <c r="C40" s="26"/>
      <c r="D40" s="26"/>
      <c r="E40" s="26"/>
      <c r="F40" s="26"/>
      <c r="G40" s="26"/>
      <c r="H40" s="1"/>
      <c r="I40" s="1"/>
    </row>
    <row r="41" spans="1:9" x14ac:dyDescent="0.15">
      <c r="A41" s="133" t="s">
        <v>74</v>
      </c>
      <c r="B41" s="134"/>
      <c r="C41" s="134"/>
      <c r="D41" s="134"/>
      <c r="E41" s="134"/>
      <c r="G41" s="37" t="s">
        <v>110</v>
      </c>
    </row>
    <row r="42" spans="1:9" x14ac:dyDescent="0.15">
      <c r="A42" s="69" t="s">
        <v>6</v>
      </c>
      <c r="B42" s="76"/>
      <c r="C42" s="71" t="s">
        <v>68</v>
      </c>
      <c r="D42" s="71" t="s">
        <v>69</v>
      </c>
      <c r="E42" s="71" t="s">
        <v>70</v>
      </c>
      <c r="F42" s="71" t="s">
        <v>71</v>
      </c>
      <c r="G42" s="71" t="s">
        <v>72</v>
      </c>
    </row>
    <row r="43" spans="1:9" x14ac:dyDescent="0.15">
      <c r="A43" s="34" t="s">
        <v>75</v>
      </c>
      <c r="B43" s="77"/>
      <c r="C43" s="72">
        <f>Dados!C3*10*(1-Dados!C5)</f>
        <v>400000</v>
      </c>
      <c r="D43" s="72">
        <f>Dados!D3*10*(1-Dados!D5)</f>
        <v>600000</v>
      </c>
      <c r="E43" s="72">
        <f>Dados!E3*10*(1-Dados!E5)</f>
        <v>720000</v>
      </c>
      <c r="F43" s="72">
        <f>Dados!F3*10*(1-Dados!F5)</f>
        <v>800000</v>
      </c>
      <c r="G43" s="72">
        <f>Dados!G3*10*(1-Dados!G5)</f>
        <v>800000</v>
      </c>
    </row>
    <row r="44" spans="1:9" x14ac:dyDescent="0.15">
      <c r="A44" s="35" t="s">
        <v>78</v>
      </c>
      <c r="B44" s="78"/>
      <c r="C44" s="72">
        <v>0</v>
      </c>
      <c r="D44" s="72">
        <f>C45</f>
        <v>33333.333333333336</v>
      </c>
      <c r="E44" s="72">
        <f>D45</f>
        <v>50000</v>
      </c>
      <c r="F44" s="72">
        <f>E45</f>
        <v>60000</v>
      </c>
      <c r="G44" s="72">
        <f>F45</f>
        <v>66666.666666666672</v>
      </c>
    </row>
    <row r="45" spans="1:9" x14ac:dyDescent="0.15">
      <c r="A45" s="34" t="s">
        <v>76</v>
      </c>
      <c r="B45" s="77"/>
      <c r="C45" s="72">
        <f>(C43/12)*Dados!$C$45</f>
        <v>33333.333333333336</v>
      </c>
      <c r="D45" s="72">
        <f>(D43/12)*Dados!$C$45</f>
        <v>50000</v>
      </c>
      <c r="E45" s="72">
        <f>(E43/12)*Dados!$C$45</f>
        <v>60000</v>
      </c>
      <c r="F45" s="72">
        <f>(F43/12)*Dados!$C$45</f>
        <v>66666.666666666672</v>
      </c>
      <c r="G45" s="72">
        <f>(G43/12)*Dados!$C$45</f>
        <v>66666.666666666672</v>
      </c>
    </row>
    <row r="46" spans="1:9" x14ac:dyDescent="0.15">
      <c r="A46" s="55" t="s">
        <v>77</v>
      </c>
      <c r="B46" s="79"/>
      <c r="C46" s="54">
        <f>C43+C45-C44</f>
        <v>433333.33333333331</v>
      </c>
      <c r="D46" s="54">
        <f>D43+D45-D44</f>
        <v>616666.66666666663</v>
      </c>
      <c r="E46" s="54">
        <f>E43+E45-E44</f>
        <v>730000</v>
      </c>
      <c r="F46" s="54">
        <f>F43+F45-F44</f>
        <v>806666.66666666663</v>
      </c>
      <c r="G46" s="54">
        <f>G43+G45-G44</f>
        <v>800000</v>
      </c>
    </row>
    <row r="48" spans="1:9" x14ac:dyDescent="0.15">
      <c r="A48" s="25" t="s">
        <v>140</v>
      </c>
    </row>
    <row r="49" spans="1:11" x14ac:dyDescent="0.15">
      <c r="A49" s="25"/>
    </row>
    <row r="50" spans="1:11" ht="13.5" customHeight="1" x14ac:dyDescent="0.15">
      <c r="A50" s="139" t="s">
        <v>133</v>
      </c>
      <c r="B50" s="140"/>
      <c r="C50" s="140"/>
      <c r="D50" s="140"/>
      <c r="E50" s="140"/>
      <c r="G50" s="37" t="s">
        <v>110</v>
      </c>
    </row>
    <row r="51" spans="1:11" x14ac:dyDescent="0.15">
      <c r="A51" s="48"/>
      <c r="B51" s="50"/>
      <c r="C51" s="75" t="s">
        <v>68</v>
      </c>
      <c r="D51" s="71" t="s">
        <v>69</v>
      </c>
      <c r="E51" s="71" t="s">
        <v>70</v>
      </c>
      <c r="F51" s="71" t="s">
        <v>71</v>
      </c>
      <c r="G51" s="71" t="s">
        <v>72</v>
      </c>
    </row>
    <row r="52" spans="1:11" x14ac:dyDescent="0.15">
      <c r="A52" s="96" t="s">
        <v>111</v>
      </c>
      <c r="B52" s="102"/>
      <c r="C52" s="61">
        <f>Dados!$C$50*Resolução!C19</f>
        <v>230000</v>
      </c>
      <c r="D52" s="92">
        <f>Dados!$C$50*Resolução!D19</f>
        <v>345000</v>
      </c>
      <c r="E52" s="92">
        <f>Dados!$C$50*Resolução!E19</f>
        <v>414000</v>
      </c>
      <c r="F52" s="92">
        <f>Dados!$C$50*Resolução!F19</f>
        <v>460000</v>
      </c>
      <c r="G52" s="92">
        <f>Dados!$C$50*Resolução!G19</f>
        <v>460000</v>
      </c>
    </row>
    <row r="53" spans="1:11" x14ac:dyDescent="0.15">
      <c r="A53" s="96" t="s">
        <v>112</v>
      </c>
      <c r="B53" s="103"/>
      <c r="C53" s="61">
        <f>(C46+C22+C23+C29)*Dados!$C$50</f>
        <v>187066.66666666666</v>
      </c>
      <c r="D53" s="92">
        <f>(D46+D22+D23+D29)*Dados!$C$50</f>
        <v>249933.33333333331</v>
      </c>
      <c r="E53" s="92">
        <f>(E46+E22+E23+E29)*Dados!$C$50</f>
        <v>296470</v>
      </c>
      <c r="F53" s="92">
        <f>(F46+F22+F23+F29)*Dados!$C$50</f>
        <v>325833.33333632333</v>
      </c>
      <c r="G53" s="92">
        <f>(G46+G22+G23+G29)*Dados!$C$50</f>
        <v>324300.00000299001</v>
      </c>
    </row>
    <row r="54" spans="1:11" x14ac:dyDescent="0.15">
      <c r="A54" s="96"/>
      <c r="B54" s="103"/>
      <c r="C54" s="61"/>
      <c r="D54" s="92"/>
      <c r="E54" s="92"/>
      <c r="F54" s="92"/>
      <c r="G54" s="92"/>
    </row>
    <row r="55" spans="1:11" x14ac:dyDescent="0.15">
      <c r="A55" s="96" t="s">
        <v>113</v>
      </c>
      <c r="B55" s="104"/>
      <c r="C55" s="61">
        <f>C52-C53</f>
        <v>42933.333333333343</v>
      </c>
      <c r="D55" s="92">
        <f>D52-D53</f>
        <v>95066.666666666686</v>
      </c>
      <c r="E55" s="92">
        <f>E52-E53</f>
        <v>117530</v>
      </c>
      <c r="F55" s="92">
        <f>F52-F53</f>
        <v>134166.66666367667</v>
      </c>
      <c r="G55" s="92">
        <f>G52-G53</f>
        <v>135699.99999700999</v>
      </c>
      <c r="I55" s="29"/>
      <c r="J55" s="29"/>
      <c r="K55" s="29"/>
    </row>
    <row r="56" spans="1:11" x14ac:dyDescent="0.15">
      <c r="A56" s="47" t="s">
        <v>114</v>
      </c>
      <c r="B56" s="46"/>
      <c r="C56" s="49">
        <f>(C55*Dados!$C$47)/12</f>
        <v>7155.5555555555575</v>
      </c>
      <c r="D56" s="38">
        <f>(D55*Dados!$C$47)/12</f>
        <v>15844.444444444447</v>
      </c>
      <c r="E56" s="38">
        <f>(E55*Dados!$C$47)/12</f>
        <v>19588.333333333332</v>
      </c>
      <c r="F56" s="38">
        <f>(F55*Dados!$C$47)/12</f>
        <v>22361.111110612779</v>
      </c>
      <c r="G56" s="38">
        <f>(G55*Dados!$C$47)/12</f>
        <v>22616.66666616833</v>
      </c>
      <c r="I56" s="29"/>
      <c r="J56" s="30"/>
      <c r="K56" s="29"/>
    </row>
    <row r="57" spans="1:11" x14ac:dyDescent="0.15">
      <c r="I57" s="29"/>
      <c r="J57" s="29"/>
      <c r="K57" s="29"/>
    </row>
    <row r="58" spans="1:11" ht="13.5" x14ac:dyDescent="0.25">
      <c r="A58" s="23"/>
      <c r="B58" s="23"/>
      <c r="C58" s="23"/>
      <c r="D58" s="23"/>
      <c r="E58" s="23"/>
      <c r="F58" s="23"/>
      <c r="G58" s="23"/>
      <c r="H58" s="23"/>
    </row>
    <row r="59" spans="1:11" ht="13.5" x14ac:dyDescent="0.25">
      <c r="A59" s="139" t="s">
        <v>134</v>
      </c>
      <c r="B59" s="140"/>
      <c r="C59" s="140"/>
      <c r="D59" s="140"/>
      <c r="E59" s="140"/>
      <c r="G59" s="37" t="s">
        <v>110</v>
      </c>
      <c r="H59" s="23"/>
    </row>
    <row r="60" spans="1:11" ht="13.5" x14ac:dyDescent="0.25">
      <c r="A60" s="74"/>
      <c r="B60" s="75"/>
      <c r="C60" s="71" t="s">
        <v>68</v>
      </c>
      <c r="D60" s="71" t="s">
        <v>69</v>
      </c>
      <c r="E60" s="71" t="s">
        <v>70</v>
      </c>
      <c r="F60" s="71" t="s">
        <v>71</v>
      </c>
      <c r="G60" s="71" t="s">
        <v>72</v>
      </c>
      <c r="H60" s="23"/>
    </row>
    <row r="61" spans="1:11" ht="10.5" customHeight="1" x14ac:dyDescent="0.25">
      <c r="A61" s="108" t="s">
        <v>115</v>
      </c>
      <c r="B61" s="109"/>
      <c r="C61" s="90"/>
      <c r="D61" s="90"/>
      <c r="E61" s="90"/>
      <c r="F61" s="90"/>
      <c r="G61" s="90"/>
      <c r="H61" s="23"/>
    </row>
    <row r="62" spans="1:11" ht="10.5" customHeight="1" x14ac:dyDescent="0.25">
      <c r="A62" s="110" t="s">
        <v>116</v>
      </c>
      <c r="B62" s="111"/>
      <c r="C62" s="90">
        <f>SUM(C25:C28)*Dados!C23/(1+Dados!C24)</f>
        <v>17710</v>
      </c>
      <c r="D62" s="90">
        <f>SUM(D25:D28)*Dados!D23/(1+Dados!D24)</f>
        <v>25025</v>
      </c>
      <c r="E62" s="90">
        <f>SUM(E25:E28)*Dados!E23/(1+Dados!E24)</f>
        <v>27720</v>
      </c>
      <c r="F62" s="90">
        <f>SUM(F25:F28)*Dados!F23/(1+Dados!F24)</f>
        <v>27720</v>
      </c>
      <c r="G62" s="90">
        <f>SUM(G25:G28)*Dados!G23/(1+Dados!G24)</f>
        <v>27720</v>
      </c>
      <c r="H62" s="23"/>
    </row>
    <row r="63" spans="1:11" ht="10.5" customHeight="1" x14ac:dyDescent="0.25">
      <c r="A63" s="110" t="s">
        <v>117</v>
      </c>
      <c r="B63" s="111"/>
      <c r="C63" s="90">
        <f>SUM(C25:C28)-(SUM(C25:C28)/(1+Dados!C24))</f>
        <v>38237.5</v>
      </c>
      <c r="D63" s="90">
        <f>SUM(D25:D28)-(SUM(D25:D28)/(1+Dados!D24))</f>
        <v>54031.25</v>
      </c>
      <c r="E63" s="90">
        <f>SUM(E25:E28)-(SUM(E25:E28)/(1+Dados!E24))</f>
        <v>59850</v>
      </c>
      <c r="F63" s="90">
        <f>SUM(F25:F28)-(SUM(F25:F28)/(1+Dados!F24))</f>
        <v>59850</v>
      </c>
      <c r="G63" s="90">
        <f>SUM(G25:G28)-(SUM(G25:G28)/(1+Dados!G24))</f>
        <v>59850</v>
      </c>
      <c r="H63" s="23"/>
    </row>
    <row r="64" spans="1:11" ht="10.5" customHeight="1" x14ac:dyDescent="0.25">
      <c r="A64" s="112" t="s">
        <v>114</v>
      </c>
      <c r="B64" s="113"/>
      <c r="C64" s="81">
        <f>(C62+C63)*Dados!$C$46/14</f>
        <v>3996.25</v>
      </c>
      <c r="D64" s="81">
        <f>(D62+D63)*Dados!$C$46/14</f>
        <v>5646.875</v>
      </c>
      <c r="E64" s="81">
        <f>(E62+E63)*Dados!$C$46/14</f>
        <v>6255</v>
      </c>
      <c r="F64" s="81">
        <f>(F62+F63)*Dados!$C$46/14</f>
        <v>6255</v>
      </c>
      <c r="G64" s="81">
        <f>(G62+G63)*Dados!$C$46/14</f>
        <v>6255</v>
      </c>
      <c r="H64" s="23"/>
    </row>
    <row r="65" spans="1:8" ht="10.5" customHeight="1" x14ac:dyDescent="0.25">
      <c r="A65" s="108"/>
      <c r="B65" s="109"/>
      <c r="C65" s="90"/>
      <c r="D65" s="90"/>
      <c r="E65" s="90"/>
      <c r="F65" s="90"/>
      <c r="G65" s="90"/>
      <c r="H65" s="23"/>
    </row>
    <row r="66" spans="1:8" ht="10.5" customHeight="1" x14ac:dyDescent="0.25">
      <c r="A66" s="108" t="s">
        <v>118</v>
      </c>
      <c r="B66" s="109"/>
      <c r="C66" s="90">
        <f>SUM(C25:C28)*Dados!C22/(1+Dados!C24)</f>
        <v>24150</v>
      </c>
      <c r="D66" s="90">
        <f>SUM(D25:D28)*Dados!D22/(1+Dados!D24)</f>
        <v>34125</v>
      </c>
      <c r="E66" s="90">
        <f>SUM(E25:E28)*Dados!E22/(1+Dados!E24)</f>
        <v>37800</v>
      </c>
      <c r="F66" s="90">
        <f>SUM(F25:F28)*Dados!F22/(1+Dados!F24)</f>
        <v>37800</v>
      </c>
      <c r="G66" s="90">
        <f>SUM(G25:G28)*Dados!G22/(1+Dados!G24)</f>
        <v>37800</v>
      </c>
      <c r="H66" s="23"/>
    </row>
    <row r="67" spans="1:8" ht="10.5" customHeight="1" x14ac:dyDescent="0.25">
      <c r="A67" s="114" t="s">
        <v>114</v>
      </c>
      <c r="B67" s="115"/>
      <c r="C67" s="81">
        <f>C66*Dados!$C$46/14</f>
        <v>1725</v>
      </c>
      <c r="D67" s="81">
        <f>D66*Dados!$C$46/14</f>
        <v>2437.5</v>
      </c>
      <c r="E67" s="81">
        <f>E66*Dados!$C$46/14</f>
        <v>2700</v>
      </c>
      <c r="F67" s="81">
        <f>F66*Dados!$C$46/14</f>
        <v>2700</v>
      </c>
      <c r="G67" s="81">
        <f>G66*Dados!$C$46/14</f>
        <v>2700</v>
      </c>
      <c r="H67" s="23"/>
    </row>
    <row r="68" spans="1:8" ht="10.5" customHeight="1" x14ac:dyDescent="0.25">
      <c r="A68" s="105" t="s">
        <v>119</v>
      </c>
      <c r="B68" s="106"/>
      <c r="C68" s="107">
        <f>C64+C67</f>
        <v>5721.25</v>
      </c>
      <c r="D68" s="107">
        <f>D64+D67</f>
        <v>8084.375</v>
      </c>
      <c r="E68" s="107">
        <f>E64+E67</f>
        <v>8955</v>
      </c>
      <c r="F68" s="107">
        <f>F64+F67</f>
        <v>8955</v>
      </c>
      <c r="G68" s="107">
        <f>G64+G67</f>
        <v>8955</v>
      </c>
      <c r="H68" s="23"/>
    </row>
    <row r="69" spans="1:8" ht="13.5" x14ac:dyDescent="0.25">
      <c r="A69" s="23"/>
      <c r="B69" s="23"/>
      <c r="C69" s="23"/>
      <c r="D69" s="23"/>
      <c r="E69" s="23"/>
      <c r="F69" s="23"/>
      <c r="G69" s="23"/>
      <c r="H69" s="23"/>
    </row>
    <row r="70" spans="1:8" ht="12.75" x14ac:dyDescent="0.25">
      <c r="A70" s="133" t="s">
        <v>79</v>
      </c>
      <c r="B70" s="134"/>
      <c r="C70" s="134"/>
      <c r="D70" s="134"/>
      <c r="E70" s="134"/>
      <c r="F70" s="73"/>
      <c r="G70" s="37" t="s">
        <v>110</v>
      </c>
    </row>
    <row r="71" spans="1:8" x14ac:dyDescent="0.15">
      <c r="A71" s="55" t="s">
        <v>80</v>
      </c>
      <c r="B71" s="56"/>
      <c r="C71" s="71" t="s">
        <v>68</v>
      </c>
      <c r="D71" s="71" t="s">
        <v>69</v>
      </c>
      <c r="E71" s="71" t="s">
        <v>70</v>
      </c>
      <c r="F71" s="71" t="s">
        <v>71</v>
      </c>
      <c r="G71" s="71" t="s">
        <v>72</v>
      </c>
    </row>
    <row r="72" spans="1:8" x14ac:dyDescent="0.15">
      <c r="A72" s="34" t="s">
        <v>81</v>
      </c>
      <c r="B72" s="52"/>
      <c r="C72" s="90">
        <f>(C19*(1+Dados!$C$50)*Dados!$C$43)/12</f>
        <v>102500</v>
      </c>
      <c r="D72" s="90">
        <f>(D19*(1+Dados!$C$50)*Dados!$C$43)/12</f>
        <v>153750</v>
      </c>
      <c r="E72" s="90">
        <f>(E19*(1+Dados!$C$50)*Dados!$C$43)/12</f>
        <v>184500</v>
      </c>
      <c r="F72" s="90">
        <f>(F19*(1+Dados!$C$50)*Dados!$C$43)/12</f>
        <v>205000</v>
      </c>
      <c r="G72" s="90">
        <f>(G19*(1+Dados!$C$50)*Dados!$C$43)/12</f>
        <v>205000</v>
      </c>
    </row>
    <row r="73" spans="1:8" x14ac:dyDescent="0.15">
      <c r="A73" s="34" t="s">
        <v>82</v>
      </c>
      <c r="B73" s="52"/>
      <c r="C73" s="90">
        <f>C45</f>
        <v>33333.333333333336</v>
      </c>
      <c r="D73" s="90">
        <f>D45</f>
        <v>50000</v>
      </c>
      <c r="E73" s="90">
        <f>E45</f>
        <v>60000</v>
      </c>
      <c r="F73" s="90">
        <f>F45</f>
        <v>66666.666666666672</v>
      </c>
      <c r="G73" s="90">
        <f>G45</f>
        <v>66666.666666666672</v>
      </c>
    </row>
    <row r="74" spans="1:8" x14ac:dyDescent="0.15">
      <c r="A74" s="126" t="s">
        <v>121</v>
      </c>
      <c r="B74" s="33"/>
      <c r="C74" s="81">
        <f>SUM(C72:C73)</f>
        <v>135833.33333333334</v>
      </c>
      <c r="D74" s="81">
        <f>SUM(D72:D73)</f>
        <v>203750</v>
      </c>
      <c r="E74" s="81">
        <f>SUM(E72:E73)</f>
        <v>244500</v>
      </c>
      <c r="F74" s="81">
        <f>SUM(F72:F73)</f>
        <v>271666.66666666669</v>
      </c>
      <c r="G74" s="81">
        <f>SUM(G72:G73)</f>
        <v>271666.66666666669</v>
      </c>
    </row>
    <row r="75" spans="1:8" x14ac:dyDescent="0.15">
      <c r="A75" s="55" t="s">
        <v>83</v>
      </c>
      <c r="B75" s="57"/>
      <c r="C75" s="36"/>
      <c r="D75" s="36"/>
      <c r="E75" s="36"/>
      <c r="F75" s="36"/>
      <c r="G75" s="37"/>
    </row>
    <row r="76" spans="1:8" x14ac:dyDescent="0.15">
      <c r="A76" s="34" t="s">
        <v>131</v>
      </c>
      <c r="B76" s="52"/>
      <c r="C76" s="90">
        <f>((C46+C22+C23+C29)*(1+Dados!$C$50)*Dados!$C$44)/12</f>
        <v>333466.66666666663</v>
      </c>
      <c r="D76" s="90">
        <f>((D46+D22+D23+D29)*(1+Dados!$C$50)*Dados!$C$44)/12</f>
        <v>445533.33333333326</v>
      </c>
      <c r="E76" s="90">
        <f>((E46+E22+E23+E29)*(1+Dados!$C$50)*Dados!$C$44)/12</f>
        <v>528490</v>
      </c>
      <c r="F76" s="90">
        <f>((F46+F22+F23+F29)*(1+Dados!$C$50)*Dados!$C$44)/12</f>
        <v>580833.33333866333</v>
      </c>
      <c r="G76" s="90">
        <f>((G46+G22+G23+G29)*(1+Dados!$C$50)*Dados!$C$44)/12</f>
        <v>578100.00000533008</v>
      </c>
    </row>
    <row r="77" spans="1:8" x14ac:dyDescent="0.15">
      <c r="A77" s="34" t="s">
        <v>122</v>
      </c>
      <c r="B77" s="52"/>
      <c r="C77" s="90">
        <f>C68+C56</f>
        <v>12876.805555555558</v>
      </c>
      <c r="D77" s="90">
        <f>D68+D56</f>
        <v>23928.819444444445</v>
      </c>
      <c r="E77" s="90">
        <f>E68+E56</f>
        <v>28543.333333333332</v>
      </c>
      <c r="F77" s="90">
        <f>F68+F56</f>
        <v>31316.111110612779</v>
      </c>
      <c r="G77" s="90">
        <f>G68+G56</f>
        <v>31571.66666616833</v>
      </c>
      <c r="H77" s="22"/>
    </row>
    <row r="78" spans="1:8" x14ac:dyDescent="0.15">
      <c r="A78" s="126" t="s">
        <v>121</v>
      </c>
      <c r="B78" s="127"/>
      <c r="C78" s="81">
        <f>SUM(C76:C77)</f>
        <v>346343.47222222219</v>
      </c>
      <c r="D78" s="81">
        <f>SUM(D76:D77)</f>
        <v>469462.15277777769</v>
      </c>
      <c r="E78" s="81">
        <f>SUM(E76:E77)</f>
        <v>557033.33333333337</v>
      </c>
      <c r="F78" s="81">
        <f>SUM(F76:F77)</f>
        <v>612149.44444927608</v>
      </c>
      <c r="G78" s="81">
        <f>SUM(G76:G77)</f>
        <v>609671.66667149845</v>
      </c>
    </row>
    <row r="79" spans="1:8" x14ac:dyDescent="0.15">
      <c r="A79" s="55" t="s">
        <v>84</v>
      </c>
      <c r="B79" s="60"/>
      <c r="C79" s="54">
        <f>C74-C78</f>
        <v>-210510.13888888885</v>
      </c>
      <c r="D79" s="54">
        <f>D74-D78</f>
        <v>-265712.15277777769</v>
      </c>
      <c r="E79" s="54">
        <f>E74-E78</f>
        <v>-312533.33333333337</v>
      </c>
      <c r="F79" s="54">
        <f>F74-F78</f>
        <v>-340482.7777826094</v>
      </c>
      <c r="G79" s="54">
        <f>G74-G78</f>
        <v>-338005.00000483176</v>
      </c>
    </row>
    <row r="80" spans="1:8" x14ac:dyDescent="0.15">
      <c r="A80" s="55" t="s">
        <v>85</v>
      </c>
      <c r="B80" s="60"/>
      <c r="C80" s="54">
        <f>C79-B79</f>
        <v>-210510.13888888885</v>
      </c>
      <c r="D80" s="54">
        <f>D79-C79</f>
        <v>-55202.013888888847</v>
      </c>
      <c r="E80" s="54">
        <f>E79-D79</f>
        <v>-46821.180555555678</v>
      </c>
      <c r="F80" s="54">
        <f>F79-E79</f>
        <v>-27949.444449276023</v>
      </c>
      <c r="G80" s="54">
        <f>G79-F79</f>
        <v>2477.7777777776355</v>
      </c>
    </row>
    <row r="83" spans="1:7" ht="13.5" x14ac:dyDescent="0.25">
      <c r="A83" s="28"/>
      <c r="B83" s="28"/>
      <c r="C83" s="31"/>
      <c r="D83" s="31"/>
      <c r="E83" s="31"/>
      <c r="F83" s="31"/>
      <c r="G83" s="31"/>
    </row>
    <row r="84" spans="1:7" ht="13.5" x14ac:dyDescent="0.25">
      <c r="B84" s="23"/>
      <c r="C84" s="23"/>
      <c r="D84" s="31"/>
      <c r="E84" s="31"/>
      <c r="F84" s="31"/>
      <c r="G84" s="31"/>
    </row>
    <row r="85" spans="1:7" ht="13.5" x14ac:dyDescent="0.25">
      <c r="A85" s="58" t="s">
        <v>141</v>
      </c>
      <c r="B85" s="38">
        <v>600000</v>
      </c>
      <c r="C85" s="28"/>
      <c r="D85" s="31"/>
      <c r="E85" s="31"/>
      <c r="F85" s="31"/>
      <c r="G85" s="31"/>
    </row>
    <row r="86" spans="1:7" ht="13.5" x14ac:dyDescent="0.25">
      <c r="A86" s="58" t="s">
        <v>120</v>
      </c>
      <c r="B86" s="38">
        <f>B85-(B85-M10)*Dados!C48+Resolução!G79</f>
        <v>241026.24999516824</v>
      </c>
      <c r="C86" s="31"/>
      <c r="D86" s="31"/>
      <c r="E86" s="31"/>
      <c r="F86" s="31"/>
      <c r="G86" s="31"/>
    </row>
    <row r="91" spans="1:7" x14ac:dyDescent="0.15">
      <c r="A91" s="133" t="s">
        <v>86</v>
      </c>
      <c r="B91" s="134"/>
      <c r="C91" s="134"/>
      <c r="D91" s="134"/>
      <c r="E91" s="135"/>
      <c r="F91" s="63"/>
      <c r="G91" s="37" t="s">
        <v>110</v>
      </c>
    </row>
    <row r="92" spans="1:7" x14ac:dyDescent="0.15">
      <c r="A92" s="55" t="s">
        <v>83</v>
      </c>
      <c r="B92" s="37">
        <v>0</v>
      </c>
      <c r="C92" s="37">
        <v>1</v>
      </c>
      <c r="D92" s="37">
        <v>2</v>
      </c>
      <c r="E92" s="37">
        <v>3</v>
      </c>
      <c r="F92" s="37">
        <v>4</v>
      </c>
      <c r="G92" s="37">
        <v>5</v>
      </c>
    </row>
    <row r="93" spans="1:7" x14ac:dyDescent="0.15">
      <c r="A93" s="34" t="s">
        <v>87</v>
      </c>
      <c r="B93" s="87"/>
      <c r="C93" s="87">
        <f>C35</f>
        <v>20762.5</v>
      </c>
      <c r="D93" s="87">
        <f>D35</f>
        <v>148468.75</v>
      </c>
      <c r="E93" s="87">
        <f>E35</f>
        <v>194676.40625</v>
      </c>
      <c r="F93" s="87">
        <f>F35</f>
        <v>240227.49999057493</v>
      </c>
      <c r="G93" s="87">
        <f>G35</f>
        <v>240227.49999057493</v>
      </c>
    </row>
    <row r="94" spans="1:7" x14ac:dyDescent="0.15">
      <c r="A94" s="34" t="s">
        <v>88</v>
      </c>
      <c r="B94" s="87"/>
      <c r="C94" s="87"/>
      <c r="D94" s="87"/>
      <c r="E94" s="87"/>
      <c r="F94" s="87"/>
      <c r="G94" s="87">
        <f>B86</f>
        <v>241026.24999516824</v>
      </c>
    </row>
    <row r="95" spans="1:7" x14ac:dyDescent="0.15">
      <c r="A95" s="62" t="s">
        <v>56</v>
      </c>
      <c r="B95" s="88">
        <f t="shared" ref="B95:G95" si="5">SUM(B93:B94)</f>
        <v>0</v>
      </c>
      <c r="C95" s="88">
        <f t="shared" si="5"/>
        <v>20762.5</v>
      </c>
      <c r="D95" s="88">
        <f t="shared" si="5"/>
        <v>148468.75</v>
      </c>
      <c r="E95" s="88">
        <f t="shared" si="5"/>
        <v>194676.40625</v>
      </c>
      <c r="F95" s="88">
        <f t="shared" si="5"/>
        <v>240227.49999057493</v>
      </c>
      <c r="G95" s="88">
        <f t="shared" si="5"/>
        <v>481253.7499857432</v>
      </c>
    </row>
    <row r="96" spans="1:7" x14ac:dyDescent="0.15">
      <c r="A96" s="53" t="s">
        <v>80</v>
      </c>
      <c r="B96" s="89"/>
      <c r="C96" s="89"/>
      <c r="D96" s="89"/>
      <c r="E96" s="89"/>
      <c r="F96" s="89"/>
      <c r="G96" s="89"/>
    </row>
    <row r="97" spans="1:12" x14ac:dyDescent="0.15">
      <c r="A97" s="34" t="s">
        <v>89</v>
      </c>
      <c r="B97" s="90">
        <v>660000</v>
      </c>
      <c r="C97" s="90"/>
      <c r="D97" s="90">
        <v>200000</v>
      </c>
      <c r="E97" s="90"/>
      <c r="F97" s="91">
        <f>SUM(Dados!F31:F37)</f>
        <v>270000</v>
      </c>
      <c r="G97" s="92"/>
      <c r="I97" s="32"/>
      <c r="J97" s="32"/>
      <c r="K97" s="32"/>
      <c r="L97" s="32"/>
    </row>
    <row r="98" spans="1:12" x14ac:dyDescent="0.15">
      <c r="A98" s="34" t="s">
        <v>90</v>
      </c>
      <c r="B98" s="87"/>
      <c r="C98" s="87">
        <f>C80</f>
        <v>-210510.13888888885</v>
      </c>
      <c r="D98" s="87">
        <f>D80</f>
        <v>-55202.013888888847</v>
      </c>
      <c r="E98" s="87">
        <f>E80</f>
        <v>-46821.180555555678</v>
      </c>
      <c r="F98" s="87">
        <f>F80</f>
        <v>-27949.444449276023</v>
      </c>
      <c r="G98" s="87">
        <f>G80</f>
        <v>2477.7777777776355</v>
      </c>
      <c r="I98" s="32"/>
      <c r="J98" s="32"/>
      <c r="K98" s="32"/>
      <c r="L98" s="32"/>
    </row>
    <row r="99" spans="1:12" x14ac:dyDescent="0.15">
      <c r="A99" s="59" t="s">
        <v>56</v>
      </c>
      <c r="B99" s="93">
        <f t="shared" ref="B99:G99" si="6">SUM(B97:B98)</f>
        <v>660000</v>
      </c>
      <c r="C99" s="93">
        <f t="shared" si="6"/>
        <v>-210510.13888888885</v>
      </c>
      <c r="D99" s="93">
        <f t="shared" si="6"/>
        <v>144797.98611111115</v>
      </c>
      <c r="E99" s="93">
        <f t="shared" si="6"/>
        <v>-46821.180555555678</v>
      </c>
      <c r="F99" s="93">
        <f t="shared" si="6"/>
        <v>242050.55555072398</v>
      </c>
      <c r="G99" s="93">
        <f t="shared" si="6"/>
        <v>2477.7777777776355</v>
      </c>
      <c r="I99" s="32"/>
      <c r="J99" s="32"/>
      <c r="K99" s="32"/>
      <c r="L99" s="32"/>
    </row>
    <row r="100" spans="1:12" x14ac:dyDescent="0.15">
      <c r="A100" s="55" t="s">
        <v>91</v>
      </c>
      <c r="B100" s="80">
        <f t="shared" ref="B100:G100" si="7">B95-B99</f>
        <v>-660000</v>
      </c>
      <c r="C100" s="80">
        <f t="shared" si="7"/>
        <v>231272.63888888885</v>
      </c>
      <c r="D100" s="80">
        <f t="shared" si="7"/>
        <v>3670.7638888888469</v>
      </c>
      <c r="E100" s="80">
        <f t="shared" si="7"/>
        <v>241497.58680555568</v>
      </c>
      <c r="F100" s="80">
        <f t="shared" si="7"/>
        <v>-1823.0555601490487</v>
      </c>
      <c r="G100" s="80">
        <f t="shared" si="7"/>
        <v>478775.97220796556</v>
      </c>
      <c r="I100" s="32"/>
      <c r="J100" s="32"/>
      <c r="K100" s="32"/>
      <c r="L100" s="32"/>
    </row>
    <row r="101" spans="1:12" x14ac:dyDescent="0.15">
      <c r="A101" s="34" t="s">
        <v>92</v>
      </c>
      <c r="B101" s="87">
        <f>B100/(1+Dados!$C$49)^Resolução!B$92</f>
        <v>-660000</v>
      </c>
      <c r="C101" s="87">
        <f>C100/(1+Dados!$C$49)^Resolução!C$92</f>
        <v>210247.85353535347</v>
      </c>
      <c r="D101" s="87">
        <f>D100/(1+Dados!$C$49)^Resolução!D92</f>
        <v>3033.6891643709473</v>
      </c>
      <c r="E101" s="87">
        <f>E100/(1+Dados!$C$49)^Resolução!E92</f>
        <v>181440.71134902749</v>
      </c>
      <c r="F101" s="87">
        <f>F100/(1+Dados!$C$49)^Resolução!F92</f>
        <v>-1245.1714774599059</v>
      </c>
      <c r="G101" s="87">
        <f>G100/(1+Dados!$C$49)^Resolução!G92</f>
        <v>297282.2101123032</v>
      </c>
      <c r="I101" s="32"/>
      <c r="J101" s="32"/>
      <c r="K101" s="32"/>
      <c r="L101" s="32"/>
    </row>
    <row r="102" spans="1:12" x14ac:dyDescent="0.15">
      <c r="A102" s="64" t="s">
        <v>93</v>
      </c>
      <c r="B102" s="80">
        <f>SUM(B101:G101)</f>
        <v>30759.292683595209</v>
      </c>
      <c r="C102" s="82"/>
      <c r="D102" s="83"/>
      <c r="E102" s="83"/>
      <c r="F102" s="83"/>
      <c r="G102" s="83"/>
      <c r="I102" s="32"/>
      <c r="J102" s="32"/>
      <c r="K102" s="32"/>
      <c r="L102" s="32"/>
    </row>
    <row r="103" spans="1:12" x14ac:dyDescent="0.15">
      <c r="A103" s="34" t="s">
        <v>92</v>
      </c>
      <c r="B103" s="87">
        <f t="shared" ref="B103:G103" si="8">B100/(1+$B$104)^B92</f>
        <v>-660000</v>
      </c>
      <c r="C103" s="87">
        <f t="shared" si="8"/>
        <v>207299.43983952445</v>
      </c>
      <c r="D103" s="87">
        <f t="shared" si="8"/>
        <v>2949.1998021620525</v>
      </c>
      <c r="E103" s="87">
        <f t="shared" si="8"/>
        <v>173913.94776671156</v>
      </c>
      <c r="F103" s="87">
        <f t="shared" si="8"/>
        <v>-1176.7803161948923</v>
      </c>
      <c r="G103" s="87">
        <f t="shared" si="8"/>
        <v>277013.99486723519</v>
      </c>
      <c r="I103" s="32"/>
      <c r="J103" s="32"/>
      <c r="K103" s="32"/>
      <c r="L103" s="32"/>
    </row>
    <row r="104" spans="1:12" x14ac:dyDescent="0.15">
      <c r="A104" s="64" t="s">
        <v>94</v>
      </c>
      <c r="B104" s="84">
        <v>0.11564526690435167</v>
      </c>
      <c r="C104" s="85">
        <f>SUM(B103:G103)</f>
        <v>-0.19804056163411587</v>
      </c>
      <c r="D104" s="83"/>
      <c r="E104" s="83"/>
      <c r="F104" s="83"/>
      <c r="G104" s="83"/>
      <c r="I104" s="32"/>
      <c r="J104" s="32"/>
      <c r="K104" s="32"/>
      <c r="L104" s="32"/>
    </row>
    <row r="105" spans="1:12" x14ac:dyDescent="0.15">
      <c r="A105" s="34" t="s">
        <v>95</v>
      </c>
      <c r="B105" s="87">
        <f>B101</f>
        <v>-660000</v>
      </c>
      <c r="C105" s="87">
        <f>B105+C101</f>
        <v>-449752.14646464656</v>
      </c>
      <c r="D105" s="87">
        <f>C105+D101</f>
        <v>-446718.45730027562</v>
      </c>
      <c r="E105" s="87">
        <f>D105+E101</f>
        <v>-265277.7459512481</v>
      </c>
      <c r="F105" s="87">
        <f>E105+F101</f>
        <v>-266522.91742870799</v>
      </c>
      <c r="G105" s="87">
        <f>F105+G101</f>
        <v>30759.292683595209</v>
      </c>
      <c r="I105" s="32"/>
      <c r="J105" s="32"/>
      <c r="K105" s="32"/>
      <c r="L105" s="32"/>
    </row>
    <row r="106" spans="1:12" x14ac:dyDescent="0.15">
      <c r="A106" s="64" t="s">
        <v>96</v>
      </c>
      <c r="B106" s="38">
        <f>4+(-F105/G101)</f>
        <v>4.8965316738193803</v>
      </c>
      <c r="C106" s="86"/>
      <c r="D106" s="83"/>
      <c r="E106" s="83"/>
      <c r="F106" s="83"/>
      <c r="G106" s="83"/>
      <c r="H106" s="32"/>
      <c r="I106" s="32"/>
      <c r="J106" s="32"/>
      <c r="K106" s="32"/>
      <c r="L106" s="32"/>
    </row>
    <row r="107" spans="1:12" x14ac:dyDescent="0.15">
      <c r="A107" s="34" t="s">
        <v>97</v>
      </c>
      <c r="B107" s="87">
        <f t="shared" ref="B107:G107" si="9">B97+B100</f>
        <v>0</v>
      </c>
      <c r="C107" s="87">
        <f t="shared" si="9"/>
        <v>231272.63888888885</v>
      </c>
      <c r="D107" s="87">
        <f t="shared" si="9"/>
        <v>203670.76388888885</v>
      </c>
      <c r="E107" s="87">
        <f t="shared" si="9"/>
        <v>241497.58680555568</v>
      </c>
      <c r="F107" s="87">
        <f t="shared" si="9"/>
        <v>268176.94443985098</v>
      </c>
      <c r="G107" s="87">
        <f t="shared" si="9"/>
        <v>478775.97220796556</v>
      </c>
      <c r="I107" s="32"/>
      <c r="J107" s="32"/>
      <c r="K107" s="32"/>
      <c r="L107" s="32"/>
    </row>
    <row r="108" spans="1:12" x14ac:dyDescent="0.15">
      <c r="A108" s="34" t="s">
        <v>98</v>
      </c>
      <c r="B108" s="87">
        <f>B107/(1+Dados!$C$49)^Resolução!B92</f>
        <v>0</v>
      </c>
      <c r="C108" s="87">
        <f>C107/(1+Dados!$C$49)^Resolução!C92</f>
        <v>210247.85353535347</v>
      </c>
      <c r="D108" s="87">
        <f>D107/(1+Dados!$C$49)^Resolução!D92</f>
        <v>168322.94536271802</v>
      </c>
      <c r="E108" s="87">
        <f>E107/(1+Dados!$C$49)^Resolução!E92</f>
        <v>181440.71134902749</v>
      </c>
      <c r="F108" s="87">
        <f>F107/(1+Dados!$C$49)^Resolução!F92</f>
        <v>183168.46147110916</v>
      </c>
      <c r="G108" s="87">
        <f>G107/(1+Dados!$C$49)^Resolução!G92</f>
        <v>297282.2101123032</v>
      </c>
      <c r="I108" s="32"/>
      <c r="J108" s="32"/>
      <c r="K108" s="32"/>
      <c r="L108" s="32"/>
    </row>
    <row r="109" spans="1:12" x14ac:dyDescent="0.15">
      <c r="A109" s="34" t="s">
        <v>55</v>
      </c>
      <c r="B109" s="87">
        <f t="shared" ref="B109:G109" si="10">B97</f>
        <v>660000</v>
      </c>
      <c r="C109" s="87">
        <f t="shared" si="10"/>
        <v>0</v>
      </c>
      <c r="D109" s="87">
        <f t="shared" si="10"/>
        <v>200000</v>
      </c>
      <c r="E109" s="87">
        <f t="shared" si="10"/>
        <v>0</v>
      </c>
      <c r="F109" s="87">
        <f t="shared" si="10"/>
        <v>270000</v>
      </c>
      <c r="G109" s="87">
        <f t="shared" si="10"/>
        <v>0</v>
      </c>
      <c r="I109" s="32"/>
      <c r="J109" s="32"/>
      <c r="K109" s="32"/>
      <c r="L109" s="32"/>
    </row>
    <row r="110" spans="1:12" x14ac:dyDescent="0.15">
      <c r="A110" s="34" t="s">
        <v>99</v>
      </c>
      <c r="B110" s="87">
        <f>B109/(1+Dados!$C$49)^B92</f>
        <v>660000</v>
      </c>
      <c r="C110" s="87">
        <f>C109/(1+Dados!$C$49)^C92</f>
        <v>0</v>
      </c>
      <c r="D110" s="87">
        <f>D109/(1+Dados!$C$49)^D92</f>
        <v>165289.25619834708</v>
      </c>
      <c r="E110" s="87">
        <f>E109/(1+Dados!$C$49)^E92</f>
        <v>0</v>
      </c>
      <c r="F110" s="87">
        <f>F109/(1+Dados!$C$49)^F92</f>
        <v>184413.63294856902</v>
      </c>
      <c r="G110" s="87">
        <f>G109/(1+Dados!$C$49)^G92</f>
        <v>0</v>
      </c>
    </row>
    <row r="111" spans="1:12" x14ac:dyDescent="0.15">
      <c r="A111" s="64" t="s">
        <v>100</v>
      </c>
      <c r="B111" s="38">
        <f>SUM(B108:G108)/SUM(B110:G110)</f>
        <v>1.0304637067143418</v>
      </c>
      <c r="C111" s="83"/>
      <c r="D111" s="83"/>
      <c r="E111" s="83"/>
      <c r="F111" s="83"/>
      <c r="G111" s="83"/>
    </row>
    <row r="114" spans="1:8" ht="12.75" x14ac:dyDescent="0.15">
      <c r="A114" s="94" t="s">
        <v>136</v>
      </c>
      <c r="B114" s="136" t="s">
        <v>135</v>
      </c>
      <c r="C114" s="137"/>
      <c r="D114" s="137"/>
      <c r="E114" s="137"/>
      <c r="F114" s="137"/>
      <c r="G114" s="137"/>
      <c r="H114" s="138"/>
    </row>
  </sheetData>
  <mergeCells count="8">
    <mergeCell ref="A1:E1"/>
    <mergeCell ref="A41:E41"/>
    <mergeCell ref="A70:E70"/>
    <mergeCell ref="A91:E91"/>
    <mergeCell ref="B114:H114"/>
    <mergeCell ref="A59:E59"/>
    <mergeCell ref="A50:E50"/>
    <mergeCell ref="A17:E17"/>
  </mergeCells>
  <pageMargins left="0.23622047244094488" right="0.23622047244094488" top="0.74803149606299213" bottom="0.74803149606299213" header="0.31496062992125984" footer="0.31496062992125984"/>
  <pageSetup paperSize="9" orientation="portrait" r:id="rId1"/>
  <ignoredErrors>
    <ignoredError sqref="E33:G33 L5 L7" formula="1"/>
    <ignoredError sqref="B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Identificação</vt:lpstr>
      <vt:lpstr>Dados</vt:lpstr>
      <vt:lpstr>Resolução</vt:lpstr>
    </vt:vector>
  </TitlesOfParts>
  <Company>ED-ROM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Vilela</dc:creator>
  <cp:lastModifiedBy>user</cp:lastModifiedBy>
  <cp:lastPrinted>2013-09-30T16:08:12Z</cp:lastPrinted>
  <dcterms:created xsi:type="dcterms:W3CDTF">2005-01-22T22:54:26Z</dcterms:created>
  <dcterms:modified xsi:type="dcterms:W3CDTF">2013-10-27T21:56:12Z</dcterms:modified>
</cp:coreProperties>
</file>