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5" windowWidth="15195" windowHeight="8445"/>
  </bookViews>
  <sheets>
    <sheet name="Dados" sheetId="1" r:id="rId1"/>
    <sheet name="Mapas" sheetId="2" r:id="rId2"/>
  </sheets>
  <definedNames>
    <definedName name="_ftn1" localSheetId="0">Dados!$B$35</definedName>
    <definedName name="_ftnref1" localSheetId="0">Dados!$B$13</definedName>
    <definedName name="_xlnm.Print_Area" localSheetId="1">Mapas!$C$34:$I$76</definedName>
  </definedNames>
  <calcPr calcId="125725"/>
</workbook>
</file>

<file path=xl/calcChain.xml><?xml version="1.0" encoding="utf-8"?>
<calcChain xmlns="http://schemas.openxmlformats.org/spreadsheetml/2006/main">
  <c r="D32" i="1"/>
  <c r="D31"/>
  <c r="E16" i="2"/>
  <c r="E36" s="1"/>
  <c r="E15"/>
  <c r="E17" s="1"/>
  <c r="G121"/>
  <c r="G118"/>
  <c r="G125"/>
  <c r="E18"/>
  <c r="E58" s="1"/>
  <c r="E59" s="1"/>
  <c r="F4"/>
  <c r="G4" s="1"/>
  <c r="E4"/>
  <c r="H4" s="1"/>
  <c r="I4" s="1"/>
  <c r="J4" s="1"/>
  <c r="F5"/>
  <c r="E5"/>
  <c r="F6"/>
  <c r="E6"/>
  <c r="F7"/>
  <c r="E7"/>
  <c r="F15"/>
  <c r="F44" s="1"/>
  <c r="F16"/>
  <c r="F17"/>
  <c r="F18"/>
  <c r="F54" s="1"/>
  <c r="F66"/>
  <c r="F36"/>
  <c r="F67" s="1"/>
  <c r="G15"/>
  <c r="G16"/>
  <c r="H16" s="1"/>
  <c r="G17"/>
  <c r="G66"/>
  <c r="G36"/>
  <c r="G67" s="1"/>
  <c r="G44"/>
  <c r="H15"/>
  <c r="H44" s="1"/>
  <c r="H66"/>
  <c r="J84"/>
  <c r="E118"/>
  <c r="I98"/>
  <c r="H98"/>
  <c r="G98"/>
  <c r="F98"/>
  <c r="E98"/>
  <c r="D98"/>
  <c r="J98"/>
  <c r="G7"/>
  <c r="G5"/>
  <c r="G6"/>
  <c r="G18" l="1"/>
  <c r="G54" s="1"/>
  <c r="F37"/>
  <c r="G38" s="1"/>
  <c r="H17"/>
  <c r="F55"/>
  <c r="F56" s="1"/>
  <c r="F60" s="1"/>
  <c r="I16"/>
  <c r="I36" s="1"/>
  <c r="I67" s="1"/>
  <c r="H36"/>
  <c r="H18"/>
  <c r="G55"/>
  <c r="G56" s="1"/>
  <c r="E54"/>
  <c r="E8"/>
  <c r="D88" s="1"/>
  <c r="D90" s="1"/>
  <c r="D92" s="1"/>
  <c r="D97" s="1"/>
  <c r="D99" s="1"/>
  <c r="H55"/>
  <c r="G58"/>
  <c r="G59" s="1"/>
  <c r="F58"/>
  <c r="F59" s="1"/>
  <c r="E66"/>
  <c r="E55"/>
  <c r="E56" s="1"/>
  <c r="E60" s="1"/>
  <c r="H6"/>
  <c r="I6" s="1"/>
  <c r="H5"/>
  <c r="I15"/>
  <c r="G68"/>
  <c r="F68"/>
  <c r="J6"/>
  <c r="I37"/>
  <c r="H54"/>
  <c r="G37"/>
  <c r="H38" s="1"/>
  <c r="H7"/>
  <c r="I7" s="1"/>
  <c r="J7" s="1"/>
  <c r="I5"/>
  <c r="J5" s="1"/>
  <c r="E37"/>
  <c r="F38" s="1"/>
  <c r="E67"/>
  <c r="E39"/>
  <c r="E44"/>
  <c r="F39" l="1"/>
  <c r="G60"/>
  <c r="H67"/>
  <c r="H68" s="1"/>
  <c r="H37"/>
  <c r="I38" s="1"/>
  <c r="I39" s="1"/>
  <c r="H58"/>
  <c r="H59" s="1"/>
  <c r="I18"/>
  <c r="E68"/>
  <c r="H39"/>
  <c r="H45" s="1"/>
  <c r="H47" s="1"/>
  <c r="H48" s="1"/>
  <c r="H8"/>
  <c r="E22" s="1"/>
  <c r="F22" s="1"/>
  <c r="H56"/>
  <c r="J8"/>
  <c r="G39"/>
  <c r="I17"/>
  <c r="I66"/>
  <c r="I68" s="1"/>
  <c r="I44"/>
  <c r="D106"/>
  <c r="E106" s="1"/>
  <c r="E45"/>
  <c r="E71"/>
  <c r="F45"/>
  <c r="F47" s="1"/>
  <c r="F48" s="1"/>
  <c r="F72" s="1"/>
  <c r="F71"/>
  <c r="E47"/>
  <c r="E48" s="1"/>
  <c r="E72" s="1"/>
  <c r="E19" l="1"/>
  <c r="E21" s="1"/>
  <c r="E24" s="1"/>
  <c r="E27" s="1"/>
  <c r="H60"/>
  <c r="H72" s="1"/>
  <c r="I54"/>
  <c r="I55"/>
  <c r="I58"/>
  <c r="I59" s="1"/>
  <c r="I45"/>
  <c r="I47" s="1"/>
  <c r="I48" s="1"/>
  <c r="H71"/>
  <c r="I71"/>
  <c r="G45"/>
  <c r="G47" s="1"/>
  <c r="G48" s="1"/>
  <c r="G72" s="1"/>
  <c r="G71"/>
  <c r="E73"/>
  <c r="E75" s="1"/>
  <c r="E76" s="1"/>
  <c r="E89" s="1"/>
  <c r="E90" s="1"/>
  <c r="F73"/>
  <c r="F75" s="1"/>
  <c r="F19"/>
  <c r="F21" s="1"/>
  <c r="F24" s="1"/>
  <c r="F27" s="1"/>
  <c r="F29" s="1"/>
  <c r="F82" s="1"/>
  <c r="F85" s="1"/>
  <c r="G22"/>
  <c r="E29"/>
  <c r="E82" s="1"/>
  <c r="E85" s="1"/>
  <c r="E30"/>
  <c r="G73" l="1"/>
  <c r="G75" s="1"/>
  <c r="H73"/>
  <c r="H75" s="1"/>
  <c r="H76" s="1"/>
  <c r="H89" s="1"/>
  <c r="H90" s="1"/>
  <c r="I56"/>
  <c r="I60" s="1"/>
  <c r="I72" s="1"/>
  <c r="I73" s="1"/>
  <c r="I75" s="1"/>
  <c r="F76"/>
  <c r="F89" s="1"/>
  <c r="F90" s="1"/>
  <c r="F92" s="1"/>
  <c r="F97" s="1"/>
  <c r="F99" s="1"/>
  <c r="D108" s="1"/>
  <c r="G76"/>
  <c r="G89" s="1"/>
  <c r="G90" s="1"/>
  <c r="E92"/>
  <c r="E97" s="1"/>
  <c r="E99" s="1"/>
  <c r="G19"/>
  <c r="G21" s="1"/>
  <c r="G24" s="1"/>
  <c r="H22"/>
  <c r="F30"/>
  <c r="D119" l="1"/>
  <c r="E119" s="1"/>
  <c r="J83"/>
  <c r="J85" s="1"/>
  <c r="J92" s="1"/>
  <c r="J97" s="1"/>
  <c r="I76"/>
  <c r="D120"/>
  <c r="E120" s="1"/>
  <c r="H19"/>
  <c r="H21" s="1"/>
  <c r="H24" s="1"/>
  <c r="I22"/>
  <c r="I19" s="1"/>
  <c r="I21" s="1"/>
  <c r="I24" s="1"/>
  <c r="G25"/>
  <c r="G27" s="1"/>
  <c r="G29" s="1"/>
  <c r="G82" s="1"/>
  <c r="G85" s="1"/>
  <c r="G92" s="1"/>
  <c r="G97" s="1"/>
  <c r="D107"/>
  <c r="E107" s="1"/>
  <c r="E108" s="1"/>
  <c r="J99" l="1"/>
  <c r="D112" s="1"/>
  <c r="D124"/>
  <c r="E124" s="1"/>
  <c r="D121"/>
  <c r="E121" s="1"/>
  <c r="G99"/>
  <c r="H25"/>
  <c r="H27" s="1"/>
  <c r="H29" s="1"/>
  <c r="H82" s="1"/>
  <c r="H85" s="1"/>
  <c r="H92" s="1"/>
  <c r="H97" s="1"/>
  <c r="I25"/>
  <c r="I27" s="1"/>
  <c r="I29" s="1"/>
  <c r="I82" s="1"/>
  <c r="I85" s="1"/>
  <c r="I92" s="1"/>
  <c r="I97" s="1"/>
  <c r="D123" l="1"/>
  <c r="E123" s="1"/>
  <c r="I99"/>
  <c r="D111" s="1"/>
  <c r="H99"/>
  <c r="D110" s="1"/>
  <c r="D122"/>
  <c r="E122" s="1"/>
  <c r="E125" s="1"/>
  <c r="D109"/>
  <c r="E109" s="1"/>
  <c r="D101"/>
  <c r="D100" l="1"/>
  <c r="E110"/>
  <c r="E111" s="1"/>
  <c r="E112" l="1"/>
  <c r="D113" s="1"/>
</calcChain>
</file>

<file path=xl/sharedStrings.xml><?xml version="1.0" encoding="utf-8"?>
<sst xmlns="http://schemas.openxmlformats.org/spreadsheetml/2006/main" count="170" uniqueCount="110">
  <si>
    <t xml:space="preserve"> Vendas</t>
  </si>
  <si>
    <t>Ano1</t>
  </si>
  <si>
    <t>Ano2</t>
  </si>
  <si>
    <t>Ano3 e seg.</t>
  </si>
  <si>
    <t xml:space="preserve">   Unidades Vendidas</t>
  </si>
  <si>
    <t>Estrutura de Custos</t>
  </si>
  <si>
    <t>€</t>
  </si>
  <si>
    <t>Descrição</t>
  </si>
  <si>
    <t>Dados</t>
  </si>
  <si>
    <t>IVA</t>
  </si>
  <si>
    <t xml:space="preserve">  Matérias primas/Máquina</t>
  </si>
  <si>
    <t xml:space="preserve">  FSE (% vendas)</t>
  </si>
  <si>
    <t xml:space="preserve">  Custos com Pessoal</t>
  </si>
  <si>
    <t>Ano 1</t>
  </si>
  <si>
    <t>Ano 2 e seguintes</t>
  </si>
  <si>
    <t>Ano 2 e 3</t>
  </si>
  <si>
    <t>Ano 4 e 5</t>
  </si>
  <si>
    <t>Ciclo de Exploração</t>
  </si>
  <si>
    <t xml:space="preserve">  Descrição</t>
  </si>
  <si>
    <t>Meses</t>
  </si>
  <si>
    <t>Prazo de recebimentos</t>
  </si>
  <si>
    <t>Duração Matérias-Primas</t>
  </si>
  <si>
    <t>Prazo de Pagamentos (MP e FSE)</t>
  </si>
  <si>
    <t>Prazo de Pagamentos (IVA)</t>
  </si>
  <si>
    <t>Prazo de Pagamentos (SS)</t>
  </si>
  <si>
    <t>Prazo de Pagamentos (IRS)</t>
  </si>
  <si>
    <t>Investimentos</t>
  </si>
  <si>
    <t>Valor (€)</t>
  </si>
  <si>
    <t>Tx Amort.</t>
  </si>
  <si>
    <t>Edifício</t>
  </si>
  <si>
    <t>Equipamento A</t>
  </si>
  <si>
    <t>Equipamento B</t>
  </si>
  <si>
    <t>Gastos de Instalação</t>
  </si>
  <si>
    <t xml:space="preserve">  Outros Custos (inclui Amortizações)</t>
  </si>
  <si>
    <t>Amortizações Anuais (quotas constantes)</t>
  </si>
  <si>
    <t>Valor de Aquisição</t>
  </si>
  <si>
    <t>Vida Útil</t>
  </si>
  <si>
    <t>Total</t>
  </si>
  <si>
    <t>Amortizações Exercício</t>
  </si>
  <si>
    <t>a) Amortizações do exercício serão 99,000 Eur nos anos 1, 2 e 3 e de 94,000 Eur nos anos 4 e 5</t>
  </si>
  <si>
    <t>unidade: Eur</t>
  </si>
  <si>
    <t>b) Amortizações acumuladas no final da vida útil do projecto</t>
  </si>
  <si>
    <t>c) Valor líquido contabilístico no final da vida útil do projecto</t>
  </si>
  <si>
    <t>Demonstração de Resultados</t>
  </si>
  <si>
    <t>Ano 2</t>
  </si>
  <si>
    <t>Ano 3</t>
  </si>
  <si>
    <t>Ano 4</t>
  </si>
  <si>
    <t>Ano 5</t>
  </si>
  <si>
    <t>Vendas</t>
  </si>
  <si>
    <t>CMVMC</t>
  </si>
  <si>
    <t>FSE</t>
  </si>
  <si>
    <t>C. Pessoal</t>
  </si>
  <si>
    <t>Outros C. Operacionais</t>
  </si>
  <si>
    <t>EBITDA</t>
  </si>
  <si>
    <t>EBIT</t>
  </si>
  <si>
    <t>Imposto s/ lucros</t>
  </si>
  <si>
    <t>Cash Flow Operacional</t>
  </si>
  <si>
    <t>Reporte de prejuízos</t>
  </si>
  <si>
    <t>Compras de Matérias-Primas</t>
  </si>
  <si>
    <t>Existências Finais</t>
  </si>
  <si>
    <t>Existências Iniciais</t>
  </si>
  <si>
    <t>Compras</t>
  </si>
  <si>
    <t>Unidade: Euros</t>
  </si>
  <si>
    <t>IVA Liquidado</t>
  </si>
  <si>
    <t>IVA Dedutível</t>
  </si>
  <si>
    <t>Saldo em dívida</t>
  </si>
  <si>
    <t>Estado e Outros Entes Públicos (IVA)</t>
  </si>
  <si>
    <t>Segurança Social</t>
  </si>
  <si>
    <t>Trabalhador</t>
  </si>
  <si>
    <t>Empresa</t>
  </si>
  <si>
    <t>Retenção de IRS na fonte</t>
  </si>
  <si>
    <t>Saldo Total em dívida</t>
  </si>
  <si>
    <t>Fundo de Maneio Necessário</t>
  </si>
  <si>
    <t>Necessidades Financeiras</t>
  </si>
  <si>
    <t>Clientes</t>
  </si>
  <si>
    <t>Matérias-Primas</t>
  </si>
  <si>
    <t>TOTAL</t>
  </si>
  <si>
    <t>Recursos Financeiros</t>
  </si>
  <si>
    <t>Fornecedores</t>
  </si>
  <si>
    <t>EOEP</t>
  </si>
  <si>
    <t>Fundo Maneio Necessário</t>
  </si>
  <si>
    <t>Investimento em FMN</t>
  </si>
  <si>
    <t>Estado e Outros Entes Públicos (SS+IRS)</t>
  </si>
  <si>
    <t>Cash Flow</t>
  </si>
  <si>
    <t>VR FMN</t>
  </si>
  <si>
    <t>VR C. Fixo</t>
  </si>
  <si>
    <t>Ano 6</t>
  </si>
  <si>
    <t>Investimento C. Fixo</t>
  </si>
  <si>
    <t>Investimento FMN</t>
  </si>
  <si>
    <t>VAL</t>
  </si>
  <si>
    <t>Ano 0</t>
  </si>
  <si>
    <t>Factor de desconto @8%</t>
  </si>
  <si>
    <t>Cash Flow Descontado</t>
  </si>
  <si>
    <t>TIR</t>
  </si>
  <si>
    <t>Pay back Period</t>
  </si>
  <si>
    <t>Pay back</t>
  </si>
  <si>
    <t>Anos</t>
  </si>
  <si>
    <t>Cash Flow Desc.</t>
  </si>
  <si>
    <t>Cash Flow Desc. Acum.</t>
  </si>
  <si>
    <t>Índice de rendibilidade</t>
  </si>
  <si>
    <t>Inv Cap Fixo Actualizado</t>
  </si>
  <si>
    <t>Inv Cap Fixo</t>
  </si>
  <si>
    <r>
      <t>Amortiza-ções Exercício</t>
    </r>
    <r>
      <rPr>
        <vertAlign val="superscript"/>
        <sz val="10"/>
        <rFont val="Book Antiqua"/>
        <family val="1"/>
      </rPr>
      <t>a</t>
    </r>
  </si>
  <si>
    <r>
      <t>Amortiza-ções Acumul</t>
    </r>
    <r>
      <rPr>
        <vertAlign val="superscript"/>
        <sz val="10"/>
        <rFont val="Book Antiqua"/>
        <family val="1"/>
      </rPr>
      <t>b</t>
    </r>
  </si>
  <si>
    <r>
      <t>Valor Liquido Contabi-listico</t>
    </r>
    <r>
      <rPr>
        <vertAlign val="superscript"/>
        <sz val="10"/>
        <rFont val="Book Antiqua"/>
        <family val="1"/>
      </rPr>
      <t>c</t>
    </r>
  </si>
  <si>
    <t>Taxa de  Amort.</t>
  </si>
  <si>
    <t>EBIT(1-t)</t>
  </si>
  <si>
    <t>(Op. Cashflow - Inv FMN)</t>
  </si>
  <si>
    <t>(Op. Cashflow - Inv FMN) Actualizado</t>
  </si>
  <si>
    <t>IVA a pagar (receber)</t>
  </si>
</sst>
</file>

<file path=xl/styles.xml><?xml version="1.0" encoding="utf-8"?>
<styleSheet xmlns="http://schemas.openxmlformats.org/spreadsheetml/2006/main">
  <numFmts count="3">
    <numFmt numFmtId="41" formatCode="_-* #,##0\ _€_-;\-* #,##0\ _€_-;_-* &quot;-&quot;\ _€_-;_-@_-"/>
    <numFmt numFmtId="164" formatCode="\ #,##0_);[Red]\(\ #,##0\)"/>
    <numFmt numFmtId="165" formatCode="0.00000"/>
  </numFmts>
  <fonts count="9">
    <font>
      <sz val="10"/>
      <name val="Arial"/>
    </font>
    <font>
      <sz val="10"/>
      <name val="Arial"/>
      <family val="2"/>
    </font>
    <font>
      <b/>
      <sz val="10"/>
      <color indexed="9"/>
      <name val="Book Antiqua"/>
      <family val="1"/>
    </font>
    <font>
      <sz val="10"/>
      <color indexed="9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0"/>
      <color indexed="12"/>
      <name val="Arial"/>
      <family val="2"/>
    </font>
    <font>
      <sz val="8"/>
      <name val="Book Antiqua"/>
      <family val="1"/>
    </font>
    <font>
      <vertAlign val="superscript"/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justify"/>
    </xf>
    <xf numFmtId="0" fontId="5" fillId="0" borderId="7" xfId="0" applyFont="1" applyBorder="1"/>
    <xf numFmtId="3" fontId="5" fillId="0" borderId="0" xfId="0" applyNumberFormat="1" applyFont="1" applyAlignment="1">
      <alignment horizontal="center"/>
    </xf>
    <xf numFmtId="9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left" indent="2"/>
    </xf>
    <xf numFmtId="0" fontId="5" fillId="0" borderId="4" xfId="0" applyFont="1" applyBorder="1" applyAlignment="1">
      <alignment horizontal="left" indent="2"/>
    </xf>
    <xf numFmtId="3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 indent="2"/>
    </xf>
    <xf numFmtId="0" fontId="2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2" fillId="2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10" fontId="5" fillId="0" borderId="8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top" wrapText="1"/>
    </xf>
    <xf numFmtId="10" fontId="5" fillId="0" borderId="6" xfId="0" applyNumberFormat="1" applyFont="1" applyBorder="1" applyAlignment="1">
      <alignment horizontal="center"/>
    </xf>
    <xf numFmtId="0" fontId="6" fillId="0" borderId="0" xfId="1" applyAlignment="1" applyProtection="1"/>
    <xf numFmtId="0" fontId="4" fillId="0" borderId="0" xfId="0" applyFont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5" fillId="0" borderId="0" xfId="2" applyFont="1"/>
    <xf numFmtId="10" fontId="5" fillId="0" borderId="0" xfId="2" applyNumberFormat="1" applyFont="1"/>
    <xf numFmtId="0" fontId="5" fillId="0" borderId="10" xfId="0" applyFont="1" applyBorder="1"/>
    <xf numFmtId="10" fontId="5" fillId="0" borderId="10" xfId="2" applyNumberFormat="1" applyFont="1" applyBorder="1"/>
    <xf numFmtId="0" fontId="4" fillId="0" borderId="9" xfId="0" applyFont="1" applyBorder="1"/>
    <xf numFmtId="0" fontId="7" fillId="0" borderId="0" xfId="0" applyFont="1" applyFill="1" applyBorder="1"/>
    <xf numFmtId="0" fontId="7" fillId="0" borderId="0" xfId="0" applyFont="1" applyAlignment="1">
      <alignment horizontal="right"/>
    </xf>
    <xf numFmtId="0" fontId="5" fillId="0" borderId="0" xfId="0" applyFont="1" applyBorder="1"/>
    <xf numFmtId="41" fontId="5" fillId="0" borderId="0" xfId="0" applyNumberFormat="1" applyFont="1"/>
    <xf numFmtId="41" fontId="5" fillId="0" borderId="10" xfId="0" applyNumberFormat="1" applyFont="1" applyBorder="1"/>
    <xf numFmtId="41" fontId="5" fillId="0" borderId="0" xfId="0" applyNumberFormat="1" applyFont="1" applyBorder="1"/>
    <xf numFmtId="41" fontId="4" fillId="0" borderId="9" xfId="0" applyNumberFormat="1" applyFont="1" applyBorder="1"/>
    <xf numFmtId="164" fontId="5" fillId="0" borderId="0" xfId="0" applyNumberFormat="1" applyFont="1"/>
    <xf numFmtId="164" fontId="5" fillId="0" borderId="10" xfId="0" applyNumberFormat="1" applyFont="1" applyBorder="1"/>
    <xf numFmtId="164" fontId="5" fillId="0" borderId="9" xfId="0" applyNumberFormat="1" applyFont="1" applyBorder="1"/>
    <xf numFmtId="0" fontId="4" fillId="0" borderId="9" xfId="0" applyFont="1" applyBorder="1" applyAlignment="1">
      <alignment horizontal="center"/>
    </xf>
    <xf numFmtId="164" fontId="5" fillId="0" borderId="0" xfId="0" applyNumberFormat="1" applyFont="1" applyBorder="1"/>
    <xf numFmtId="0" fontId="5" fillId="0" borderId="0" xfId="0" applyFont="1" applyAlignment="1">
      <alignment horizontal="left" indent="1"/>
    </xf>
    <xf numFmtId="0" fontId="5" fillId="0" borderId="10" xfId="0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3" fillId="0" borderId="0" xfId="0" applyFont="1" applyBorder="1" applyAlignment="1"/>
    <xf numFmtId="164" fontId="3" fillId="0" borderId="0" xfId="0" applyNumberFormat="1" applyFont="1" applyBorder="1"/>
    <xf numFmtId="0" fontId="5" fillId="0" borderId="1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10" xfId="0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/>
    <xf numFmtId="0" fontId="4" fillId="0" borderId="10" xfId="0" applyFont="1" applyBorder="1"/>
    <xf numFmtId="0" fontId="7" fillId="0" borderId="10" xfId="0" applyFont="1" applyBorder="1" applyAlignment="1">
      <alignment horizontal="right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5"/>
  <sheetViews>
    <sheetView showGridLines="0" tabSelected="1" workbookViewId="0"/>
  </sheetViews>
  <sheetFormatPr defaultRowHeight="12.75"/>
  <cols>
    <col min="2" max="2" width="32.7109375" bestFit="1" customWidth="1"/>
    <col min="3" max="5" width="11.7109375" customWidth="1"/>
  </cols>
  <sheetData>
    <row r="1" spans="2:5" ht="13.5" thickBot="1"/>
    <row r="2" spans="2:5" ht="15">
      <c r="B2" s="1" t="s">
        <v>0</v>
      </c>
      <c r="C2" s="2"/>
      <c r="D2" s="2"/>
      <c r="E2" s="3"/>
    </row>
    <row r="3" spans="2:5" ht="15.75" thickBot="1">
      <c r="B3" s="4"/>
      <c r="C3" s="5" t="s">
        <v>1</v>
      </c>
      <c r="D3" s="5" t="s">
        <v>2</v>
      </c>
      <c r="E3" s="6" t="s">
        <v>3</v>
      </c>
    </row>
    <row r="4" spans="2:5" ht="14.25" thickBot="1">
      <c r="B4" s="7" t="s">
        <v>4</v>
      </c>
      <c r="C4" s="8">
        <v>60</v>
      </c>
      <c r="D4" s="8">
        <v>300</v>
      </c>
      <c r="E4" s="9">
        <v>400</v>
      </c>
    </row>
    <row r="5" spans="2:5" ht="14.25" thickBot="1">
      <c r="B5" s="10"/>
    </row>
    <row r="6" spans="2:5" ht="15">
      <c r="B6" s="1" t="s">
        <v>5</v>
      </c>
      <c r="C6" s="2"/>
      <c r="D6" s="3" t="s">
        <v>6</v>
      </c>
    </row>
    <row r="7" spans="2:5" ht="15.75" thickBot="1">
      <c r="B7" s="4" t="s">
        <v>7</v>
      </c>
      <c r="C7" s="5" t="s">
        <v>8</v>
      </c>
      <c r="D7" s="6" t="s">
        <v>9</v>
      </c>
    </row>
    <row r="8" spans="2:5" ht="13.5">
      <c r="B8" s="11" t="s">
        <v>10</v>
      </c>
      <c r="C8" s="12">
        <v>1500</v>
      </c>
      <c r="D8" s="13">
        <v>0.17</v>
      </c>
    </row>
    <row r="9" spans="2:5" ht="13.5">
      <c r="B9" s="11" t="s">
        <v>11</v>
      </c>
      <c r="C9" s="65">
        <v>0.1</v>
      </c>
      <c r="D9" s="13">
        <v>0.17</v>
      </c>
    </row>
    <row r="10" spans="2:5" ht="13.5">
      <c r="B10" s="11" t="s">
        <v>12</v>
      </c>
      <c r="C10" s="14"/>
      <c r="D10" s="15"/>
    </row>
    <row r="11" spans="2:5" ht="13.5">
      <c r="B11" s="16" t="s">
        <v>13</v>
      </c>
      <c r="C11" s="12">
        <v>100000</v>
      </c>
      <c r="D11" s="15"/>
    </row>
    <row r="12" spans="2:5" ht="13.5">
      <c r="B12" s="16" t="s">
        <v>14</v>
      </c>
      <c r="C12" s="12">
        <v>160000</v>
      </c>
      <c r="D12" s="15"/>
    </row>
    <row r="13" spans="2:5" ht="13.5">
      <c r="B13" s="11" t="s">
        <v>33</v>
      </c>
      <c r="C13" s="14"/>
      <c r="D13" s="15"/>
    </row>
    <row r="14" spans="2:5" ht="13.5">
      <c r="B14" s="16" t="s">
        <v>13</v>
      </c>
      <c r="C14" s="12">
        <v>119000</v>
      </c>
      <c r="D14" s="15"/>
    </row>
    <row r="15" spans="2:5" ht="13.5">
      <c r="B15" s="16" t="s">
        <v>15</v>
      </c>
      <c r="C15" s="12">
        <v>129000</v>
      </c>
      <c r="D15" s="15"/>
    </row>
    <row r="16" spans="2:5" ht="14.25" thickBot="1">
      <c r="B16" s="17" t="s">
        <v>16</v>
      </c>
      <c r="C16" s="18">
        <v>124000</v>
      </c>
      <c r="D16" s="9"/>
    </row>
    <row r="17" spans="2:4" ht="14.25" thickBot="1">
      <c r="B17" s="19"/>
    </row>
    <row r="18" spans="2:4" ht="15">
      <c r="B18" s="1" t="s">
        <v>17</v>
      </c>
      <c r="C18" s="20"/>
    </row>
    <row r="19" spans="2:4" ht="15.75" thickBot="1">
      <c r="B19" s="4" t="s">
        <v>18</v>
      </c>
      <c r="C19" s="6" t="s">
        <v>19</v>
      </c>
    </row>
    <row r="20" spans="2:4" ht="13.5">
      <c r="B20" s="21" t="s">
        <v>20</v>
      </c>
      <c r="C20" s="15">
        <v>2</v>
      </c>
    </row>
    <row r="21" spans="2:4" ht="13.5">
      <c r="B21" s="21" t="s">
        <v>21</v>
      </c>
      <c r="C21" s="15">
        <v>1</v>
      </c>
    </row>
    <row r="22" spans="2:4" ht="13.5">
      <c r="B22" s="21" t="s">
        <v>22</v>
      </c>
      <c r="C22" s="15">
        <v>1.5</v>
      </c>
    </row>
    <row r="23" spans="2:4" ht="13.5">
      <c r="B23" s="21" t="s">
        <v>23</v>
      </c>
      <c r="C23" s="15">
        <v>2</v>
      </c>
    </row>
    <row r="24" spans="2:4" ht="13.5">
      <c r="B24" s="21" t="s">
        <v>24</v>
      </c>
      <c r="C24" s="15">
        <v>1</v>
      </c>
    </row>
    <row r="25" spans="2:4" ht="14.25" thickBot="1">
      <c r="B25" s="22" t="s">
        <v>25</v>
      </c>
      <c r="C25" s="9">
        <v>1</v>
      </c>
    </row>
    <row r="26" spans="2:4" ht="14.25" thickBot="1">
      <c r="B26" s="10"/>
    </row>
    <row r="27" spans="2:4" ht="15">
      <c r="B27" s="1" t="s">
        <v>26</v>
      </c>
      <c r="C27" s="23"/>
      <c r="D27" s="20"/>
    </row>
    <row r="28" spans="2:4" ht="15.75" thickBot="1">
      <c r="B28" s="4" t="s">
        <v>18</v>
      </c>
      <c r="C28" s="24" t="s">
        <v>27</v>
      </c>
      <c r="D28" s="6" t="s">
        <v>28</v>
      </c>
    </row>
    <row r="29" spans="2:4" ht="13.5">
      <c r="B29" s="21" t="s">
        <v>29</v>
      </c>
      <c r="C29" s="25">
        <v>100000</v>
      </c>
      <c r="D29" s="13">
        <v>0.04</v>
      </c>
    </row>
    <row r="30" spans="2:4" ht="13.5">
      <c r="B30" s="21" t="s">
        <v>30</v>
      </c>
      <c r="C30" s="25">
        <v>300000</v>
      </c>
      <c r="D30" s="13">
        <v>0.2</v>
      </c>
    </row>
    <row r="31" spans="2:4" ht="13.5">
      <c r="B31" s="21" t="s">
        <v>31</v>
      </c>
      <c r="C31" s="25">
        <v>90000</v>
      </c>
      <c r="D31" s="26">
        <f>1/3</f>
        <v>0.33333333333333331</v>
      </c>
    </row>
    <row r="32" spans="2:4" ht="14.25" thickBot="1">
      <c r="B32" s="22" t="s">
        <v>32</v>
      </c>
      <c r="C32" s="27">
        <v>15000</v>
      </c>
      <c r="D32" s="28">
        <f>1/3</f>
        <v>0.33333333333333331</v>
      </c>
    </row>
    <row r="35" spans="2:2">
      <c r="B35" s="29"/>
    </row>
  </sheetData>
  <phoneticPr fontId="0" type="noConversion"/>
  <hyperlinks>
    <hyperlink ref="B13" location="_ftn1" display="_ftn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K125"/>
  <sheetViews>
    <sheetView showGridLines="0" workbookViewId="0">
      <selection activeCell="O6" sqref="O6"/>
    </sheetView>
  </sheetViews>
  <sheetFormatPr defaultRowHeight="13.5" outlineLevelCol="1"/>
  <cols>
    <col min="1" max="2" width="9.140625" style="31"/>
    <col min="3" max="3" width="22.42578125" style="31" customWidth="1"/>
    <col min="4" max="4" width="9.7109375" style="31" customWidth="1" outlineLevel="1"/>
    <col min="5" max="10" width="9.85546875" style="31" customWidth="1"/>
    <col min="11" max="16384" width="9.140625" style="31"/>
  </cols>
  <sheetData>
    <row r="2" spans="3:11" ht="15">
      <c r="C2" s="30" t="s">
        <v>34</v>
      </c>
      <c r="D2" s="30"/>
      <c r="J2" s="41" t="s">
        <v>40</v>
      </c>
    </row>
    <row r="3" spans="3:11" ht="56.25">
      <c r="C3" s="32"/>
      <c r="D3" s="32"/>
      <c r="E3" s="33" t="s">
        <v>35</v>
      </c>
      <c r="F3" s="33" t="s">
        <v>105</v>
      </c>
      <c r="G3" s="33" t="s">
        <v>36</v>
      </c>
      <c r="H3" s="33" t="s">
        <v>102</v>
      </c>
      <c r="I3" s="33" t="s">
        <v>103</v>
      </c>
      <c r="J3" s="33" t="s">
        <v>104</v>
      </c>
      <c r="K3" s="34"/>
    </row>
    <row r="4" spans="3:11">
      <c r="C4" s="31" t="s">
        <v>29</v>
      </c>
      <c r="E4" s="43">
        <f>Dados!C29</f>
        <v>100000</v>
      </c>
      <c r="F4" s="35">
        <f>Dados!D29</f>
        <v>0.04</v>
      </c>
      <c r="G4" s="14">
        <f>1/F4</f>
        <v>25</v>
      </c>
      <c r="H4" s="43">
        <f>F4*E4</f>
        <v>4000</v>
      </c>
      <c r="I4" s="43">
        <f>5*H4</f>
        <v>20000</v>
      </c>
      <c r="J4" s="43">
        <f>E4-I4</f>
        <v>80000</v>
      </c>
    </row>
    <row r="5" spans="3:11">
      <c r="C5" s="31" t="s">
        <v>30</v>
      </c>
      <c r="E5" s="43">
        <f>Dados!C30</f>
        <v>300000</v>
      </c>
      <c r="F5" s="35">
        <f>Dados!D30</f>
        <v>0.2</v>
      </c>
      <c r="G5" s="14">
        <f>1/F5</f>
        <v>5</v>
      </c>
      <c r="H5" s="43">
        <f>F5*E5</f>
        <v>60000</v>
      </c>
      <c r="I5" s="43">
        <f>5*H5</f>
        <v>300000</v>
      </c>
      <c r="J5" s="43">
        <f>E5-I5</f>
        <v>0</v>
      </c>
    </row>
    <row r="6" spans="3:11">
      <c r="C6" s="31" t="s">
        <v>31</v>
      </c>
      <c r="E6" s="43">
        <f>Dados!C31</f>
        <v>90000</v>
      </c>
      <c r="F6" s="36">
        <f>Dados!D31</f>
        <v>0.33333333333333331</v>
      </c>
      <c r="G6" s="14">
        <f>1/F6</f>
        <v>3</v>
      </c>
      <c r="H6" s="43">
        <f>F6*E6</f>
        <v>30000</v>
      </c>
      <c r="I6" s="43">
        <f>5*H6-E6</f>
        <v>60000</v>
      </c>
      <c r="J6" s="43">
        <f>E6-I6</f>
        <v>30000</v>
      </c>
    </row>
    <row r="7" spans="3:11">
      <c r="C7" s="37" t="s">
        <v>32</v>
      </c>
      <c r="D7" s="37"/>
      <c r="E7" s="44">
        <f>Dados!C32</f>
        <v>15000</v>
      </c>
      <c r="F7" s="38">
        <f>Dados!D32</f>
        <v>0.33333333333333331</v>
      </c>
      <c r="G7" s="14">
        <f>1/F7</f>
        <v>3</v>
      </c>
      <c r="H7" s="44">
        <f>F7*E7</f>
        <v>5000</v>
      </c>
      <c r="I7" s="43">
        <f>G7*H7</f>
        <v>15000</v>
      </c>
      <c r="J7" s="43">
        <f>E7-I7</f>
        <v>0</v>
      </c>
    </row>
    <row r="8" spans="3:11" ht="15">
      <c r="C8" s="39" t="s">
        <v>37</v>
      </c>
      <c r="D8" s="39"/>
      <c r="E8" s="46">
        <f>SUM(E4:E7)</f>
        <v>505000</v>
      </c>
      <c r="F8" s="39"/>
      <c r="G8" s="39"/>
      <c r="H8" s="46">
        <f>SUM(H4:H7)</f>
        <v>99000</v>
      </c>
      <c r="I8" s="46"/>
      <c r="J8" s="46">
        <f>SUM(J4:J7)</f>
        <v>110000</v>
      </c>
    </row>
    <row r="9" spans="3:11">
      <c r="C9" s="40" t="s">
        <v>39</v>
      </c>
      <c r="D9" s="40"/>
    </row>
    <row r="10" spans="3:11">
      <c r="C10" s="40" t="s">
        <v>41</v>
      </c>
      <c r="D10" s="40"/>
    </row>
    <row r="11" spans="3:11">
      <c r="C11" s="40" t="s">
        <v>42</v>
      </c>
      <c r="D11" s="40"/>
    </row>
    <row r="13" spans="3:11" ht="15">
      <c r="C13" s="30" t="s">
        <v>43</v>
      </c>
      <c r="D13" s="30"/>
    </row>
    <row r="14" spans="3:11" ht="15">
      <c r="C14" s="32"/>
      <c r="D14" s="32"/>
      <c r="E14" s="50" t="s">
        <v>13</v>
      </c>
      <c r="F14" s="50" t="s">
        <v>44</v>
      </c>
      <c r="G14" s="50" t="s">
        <v>45</v>
      </c>
      <c r="H14" s="50" t="s">
        <v>46</v>
      </c>
      <c r="I14" s="50" t="s">
        <v>47</v>
      </c>
    </row>
    <row r="15" spans="3:11">
      <c r="C15" s="31" t="s">
        <v>48</v>
      </c>
      <c r="E15" s="47">
        <f>Dados!C4*3000</f>
        <v>180000</v>
      </c>
      <c r="F15" s="47">
        <f>Dados!D4*3000</f>
        <v>900000</v>
      </c>
      <c r="G15" s="47">
        <f>Dados!E4*3000</f>
        <v>1200000</v>
      </c>
      <c r="H15" s="47">
        <f>G15</f>
        <v>1200000</v>
      </c>
      <c r="I15" s="47">
        <f>H15</f>
        <v>1200000</v>
      </c>
    </row>
    <row r="16" spans="3:11">
      <c r="C16" s="31" t="s">
        <v>49</v>
      </c>
      <c r="E16" s="47">
        <f>Dados!$C$8*Dados!C4</f>
        <v>90000</v>
      </c>
      <c r="F16" s="47">
        <f>Dados!$C$8*Dados!D4</f>
        <v>450000</v>
      </c>
      <c r="G16" s="47">
        <f>Dados!$C$8*Dados!E4</f>
        <v>600000</v>
      </c>
      <c r="H16" s="47">
        <f>G16</f>
        <v>600000</v>
      </c>
      <c r="I16" s="47">
        <f>H16</f>
        <v>600000</v>
      </c>
    </row>
    <row r="17" spans="3:9">
      <c r="C17" s="31" t="s">
        <v>50</v>
      </c>
      <c r="E17" s="47">
        <f>Dados!$C$9*Mapas!E15</f>
        <v>18000</v>
      </c>
      <c r="F17" s="47">
        <f>Dados!$C$9*Mapas!F15</f>
        <v>90000</v>
      </c>
      <c r="G17" s="47">
        <f>Dados!$C$9*Mapas!G15</f>
        <v>120000</v>
      </c>
      <c r="H17" s="47">
        <f>Dados!$C$9*Mapas!H15</f>
        <v>120000</v>
      </c>
      <c r="I17" s="47">
        <f>Dados!$C$9*Mapas!I15</f>
        <v>120000</v>
      </c>
    </row>
    <row r="18" spans="3:9">
      <c r="C18" s="31" t="s">
        <v>51</v>
      </c>
      <c r="E18" s="47">
        <f>Dados!C11</f>
        <v>100000</v>
      </c>
      <c r="F18" s="47">
        <f>Dados!C12</f>
        <v>160000</v>
      </c>
      <c r="G18" s="47">
        <f>F18</f>
        <v>160000</v>
      </c>
      <c r="H18" s="47">
        <f>G18</f>
        <v>160000</v>
      </c>
      <c r="I18" s="47">
        <f>H18</f>
        <v>160000</v>
      </c>
    </row>
    <row r="19" spans="3:9">
      <c r="C19" s="31" t="s">
        <v>52</v>
      </c>
      <c r="E19" s="48">
        <f>Dados!C14-Mapas!E22</f>
        <v>20000</v>
      </c>
      <c r="F19" s="48">
        <f>Dados!C15-Mapas!F22</f>
        <v>30000</v>
      </c>
      <c r="G19" s="48">
        <f>Dados!C15-Mapas!G22</f>
        <v>30000</v>
      </c>
      <c r="H19" s="48">
        <f>Dados!C16-H22</f>
        <v>30000</v>
      </c>
      <c r="I19" s="48">
        <f>Dados!C16-I22</f>
        <v>30000</v>
      </c>
    </row>
    <row r="20" spans="3:9">
      <c r="E20" s="47"/>
      <c r="F20" s="47"/>
      <c r="G20" s="47"/>
      <c r="H20" s="47"/>
      <c r="I20" s="47"/>
    </row>
    <row r="21" spans="3:9">
      <c r="C21" s="31" t="s">
        <v>53</v>
      </c>
      <c r="E21" s="47">
        <f>E15-SUM(E16:E19)</f>
        <v>-48000</v>
      </c>
      <c r="F21" s="47">
        <f>F15-SUM(F16:F19)</f>
        <v>170000</v>
      </c>
      <c r="G21" s="47">
        <f>G15-SUM(G16:G19)</f>
        <v>290000</v>
      </c>
      <c r="H21" s="47">
        <f>H15-SUM(H16:H19)</f>
        <v>290000</v>
      </c>
      <c r="I21" s="47">
        <f>I15-SUM(I16:I19)</f>
        <v>290000</v>
      </c>
    </row>
    <row r="22" spans="3:9">
      <c r="C22" s="31" t="s">
        <v>38</v>
      </c>
      <c r="E22" s="48">
        <f>H8</f>
        <v>99000</v>
      </c>
      <c r="F22" s="48">
        <f>E22</f>
        <v>99000</v>
      </c>
      <c r="G22" s="48">
        <f>F22</f>
        <v>99000</v>
      </c>
      <c r="H22" s="48">
        <f>G22-5000</f>
        <v>94000</v>
      </c>
      <c r="I22" s="48">
        <f>H22</f>
        <v>94000</v>
      </c>
    </row>
    <row r="23" spans="3:9">
      <c r="E23" s="43"/>
      <c r="F23" s="43"/>
      <c r="G23" s="43"/>
      <c r="H23" s="43"/>
      <c r="I23" s="43"/>
    </row>
    <row r="24" spans="3:9">
      <c r="C24" s="31" t="s">
        <v>54</v>
      </c>
      <c r="E24" s="47">
        <f>E21-E22</f>
        <v>-147000</v>
      </c>
      <c r="F24" s="47">
        <f>F21-F22</f>
        <v>71000</v>
      </c>
      <c r="G24" s="47">
        <f>G21-G22</f>
        <v>191000</v>
      </c>
      <c r="H24" s="47">
        <f>H21-H22</f>
        <v>196000</v>
      </c>
      <c r="I24" s="47">
        <f>I21-I22</f>
        <v>196000</v>
      </c>
    </row>
    <row r="25" spans="3:9">
      <c r="C25" s="31" t="s">
        <v>55</v>
      </c>
      <c r="E25" s="48">
        <v>0</v>
      </c>
      <c r="F25" s="48">
        <v>0</v>
      </c>
      <c r="G25" s="48">
        <f>0.4*(G24-F30)</f>
        <v>46000</v>
      </c>
      <c r="H25" s="48">
        <f>0.4*(H24-G30)</f>
        <v>78400</v>
      </c>
      <c r="I25" s="48">
        <f>0.4*(I24-H30)</f>
        <v>78400</v>
      </c>
    </row>
    <row r="26" spans="3:9">
      <c r="E26" s="43"/>
      <c r="F26" s="43"/>
      <c r="G26" s="43"/>
      <c r="H26" s="43"/>
      <c r="I26" s="43"/>
    </row>
    <row r="27" spans="3:9">
      <c r="C27" s="31" t="s">
        <v>106</v>
      </c>
      <c r="E27" s="48">
        <f>E24-E25</f>
        <v>-147000</v>
      </c>
      <c r="F27" s="48">
        <f>F24-F25</f>
        <v>71000</v>
      </c>
      <c r="G27" s="48">
        <f>G24-G25</f>
        <v>145000</v>
      </c>
      <c r="H27" s="48">
        <f>H24-H25</f>
        <v>117600</v>
      </c>
      <c r="I27" s="48">
        <f>I24-I25</f>
        <v>117600</v>
      </c>
    </row>
    <row r="28" spans="3:9">
      <c r="C28" s="42"/>
      <c r="D28" s="42"/>
      <c r="E28" s="45"/>
      <c r="F28" s="45"/>
      <c r="G28" s="45"/>
      <c r="H28" s="45"/>
      <c r="I28" s="45"/>
    </row>
    <row r="29" spans="3:9">
      <c r="C29" s="37" t="s">
        <v>56</v>
      </c>
      <c r="D29" s="42"/>
      <c r="E29" s="47">
        <f>E27+E22</f>
        <v>-48000</v>
      </c>
      <c r="F29" s="47">
        <f>F27+F22</f>
        <v>170000</v>
      </c>
      <c r="G29" s="47">
        <f>G27+G22</f>
        <v>244000</v>
      </c>
      <c r="H29" s="47">
        <f>H27+H22</f>
        <v>211600</v>
      </c>
      <c r="I29" s="47">
        <f>I27+I22</f>
        <v>211600</v>
      </c>
    </row>
    <row r="30" spans="3:9">
      <c r="C30" s="32" t="s">
        <v>57</v>
      </c>
      <c r="D30" s="32"/>
      <c r="E30" s="49">
        <f>-E27</f>
        <v>147000</v>
      </c>
      <c r="F30" s="49">
        <f>E30-F24</f>
        <v>76000</v>
      </c>
      <c r="G30" s="49">
        <v>0</v>
      </c>
      <c r="H30" s="49">
        <v>0</v>
      </c>
      <c r="I30" s="49">
        <v>0</v>
      </c>
    </row>
    <row r="34" spans="3:9" ht="15">
      <c r="C34" s="30" t="s">
        <v>58</v>
      </c>
      <c r="D34" s="30"/>
      <c r="H34" s="69" t="s">
        <v>62</v>
      </c>
      <c r="I34" s="69"/>
    </row>
    <row r="35" spans="3:9" ht="15">
      <c r="C35" s="32"/>
      <c r="D35" s="32"/>
      <c r="E35" s="50" t="s">
        <v>13</v>
      </c>
      <c r="F35" s="50" t="s">
        <v>44</v>
      </c>
      <c r="G35" s="50" t="s">
        <v>45</v>
      </c>
      <c r="H35" s="50" t="s">
        <v>46</v>
      </c>
      <c r="I35" s="50" t="s">
        <v>47</v>
      </c>
    </row>
    <row r="36" spans="3:9">
      <c r="C36" s="31" t="s">
        <v>49</v>
      </c>
      <c r="E36" s="47">
        <f>Mapas!E16</f>
        <v>90000</v>
      </c>
      <c r="F36" s="47">
        <f>Mapas!F16</f>
        <v>450000</v>
      </c>
      <c r="G36" s="47">
        <f>Mapas!G16</f>
        <v>600000</v>
      </c>
      <c r="H36" s="47">
        <f>Mapas!H16</f>
        <v>600000</v>
      </c>
      <c r="I36" s="47">
        <f>Mapas!I16</f>
        <v>600000</v>
      </c>
    </row>
    <row r="37" spans="3:9">
      <c r="C37" s="31" t="s">
        <v>59</v>
      </c>
      <c r="E37" s="47">
        <f>E36*Dados!C21/12</f>
        <v>7500</v>
      </c>
      <c r="F37" s="47">
        <f>F36*Dados!C21/12</f>
        <v>37500</v>
      </c>
      <c r="G37" s="47">
        <f>G36*Dados!C21/12</f>
        <v>50000</v>
      </c>
      <c r="H37" s="47">
        <f>H36*Dados!C21/12</f>
        <v>50000</v>
      </c>
      <c r="I37" s="47">
        <f>I36*Dados!C21/12</f>
        <v>50000</v>
      </c>
    </row>
    <row r="38" spans="3:9">
      <c r="C38" s="31" t="s">
        <v>60</v>
      </c>
      <c r="E38" s="47">
        <v>0</v>
      </c>
      <c r="F38" s="47">
        <f>E37</f>
        <v>7500</v>
      </c>
      <c r="G38" s="47">
        <f>F37</f>
        <v>37500</v>
      </c>
      <c r="H38" s="47">
        <f>G37</f>
        <v>50000</v>
      </c>
      <c r="I38" s="47">
        <f>H37</f>
        <v>50000</v>
      </c>
    </row>
    <row r="39" spans="3:9">
      <c r="C39" s="32" t="s">
        <v>61</v>
      </c>
      <c r="D39" s="32"/>
      <c r="E39" s="49">
        <f>E36+E37-E38</f>
        <v>97500</v>
      </c>
      <c r="F39" s="49">
        <f>F36+F37-F38</f>
        <v>480000</v>
      </c>
      <c r="G39" s="49">
        <f>G36+G37-G38</f>
        <v>612500</v>
      </c>
      <c r="H39" s="49">
        <f>H36+H37-H38</f>
        <v>600000</v>
      </c>
      <c r="I39" s="49">
        <f>I36+I37-I38</f>
        <v>600000</v>
      </c>
    </row>
    <row r="42" spans="3:9" ht="15">
      <c r="C42" s="30" t="s">
        <v>66</v>
      </c>
      <c r="D42" s="30"/>
      <c r="H42" s="69" t="s">
        <v>62</v>
      </c>
      <c r="I42" s="69"/>
    </row>
    <row r="43" spans="3:9" ht="15">
      <c r="C43" s="32"/>
      <c r="D43" s="32"/>
      <c r="E43" s="50" t="s">
        <v>13</v>
      </c>
      <c r="F43" s="50" t="s">
        <v>44</v>
      </c>
      <c r="G43" s="50" t="s">
        <v>45</v>
      </c>
      <c r="H43" s="50" t="s">
        <v>46</v>
      </c>
      <c r="I43" s="50" t="s">
        <v>47</v>
      </c>
    </row>
    <row r="44" spans="3:9">
      <c r="C44" s="31" t="s">
        <v>63</v>
      </c>
      <c r="E44" s="47">
        <f>Dados!$D$8*E15</f>
        <v>30600.000000000004</v>
      </c>
      <c r="F44" s="47">
        <f>Dados!$D$8*Mapas!F15</f>
        <v>153000</v>
      </c>
      <c r="G44" s="47">
        <f>Dados!$D$8*Mapas!G15</f>
        <v>204000.00000000003</v>
      </c>
      <c r="H44" s="47">
        <f>Dados!$D$8*Mapas!H15</f>
        <v>204000.00000000003</v>
      </c>
      <c r="I44" s="47">
        <f>Dados!$D$8*Mapas!I15</f>
        <v>204000.00000000003</v>
      </c>
    </row>
    <row r="45" spans="3:9">
      <c r="C45" s="31" t="s">
        <v>64</v>
      </c>
      <c r="E45" s="47">
        <f>(E39+E17)*Dados!$D$8</f>
        <v>19635</v>
      </c>
      <c r="F45" s="47">
        <f>(F39+F17)*Dados!$D$8</f>
        <v>96900</v>
      </c>
      <c r="G45" s="47">
        <f>(G39+G17)*Dados!$D$8</f>
        <v>124525.00000000001</v>
      </c>
      <c r="H45" s="47">
        <f>(H39+H17)*Dados!$D$8</f>
        <v>122400.00000000001</v>
      </c>
      <c r="I45" s="47">
        <f>(I39+I17)*Dados!$D$8</f>
        <v>122400.00000000001</v>
      </c>
    </row>
    <row r="46" spans="3:9">
      <c r="E46" s="47"/>
      <c r="F46" s="47"/>
      <c r="G46" s="47"/>
      <c r="H46" s="47"/>
      <c r="I46" s="47"/>
    </row>
    <row r="47" spans="3:9">
      <c r="C47" s="31" t="s">
        <v>109</v>
      </c>
      <c r="E47" s="47">
        <f>E44-E45</f>
        <v>10965.000000000004</v>
      </c>
      <c r="F47" s="47">
        <f>F44-F45</f>
        <v>56100</v>
      </c>
      <c r="G47" s="47">
        <f>G44-G45</f>
        <v>79475.000000000015</v>
      </c>
      <c r="H47" s="47">
        <f>H44-H45</f>
        <v>81600.000000000015</v>
      </c>
      <c r="I47" s="47">
        <f>I44-I45</f>
        <v>81600.000000000015</v>
      </c>
    </row>
    <row r="48" spans="3:9">
      <c r="C48" s="32" t="s">
        <v>65</v>
      </c>
      <c r="D48" s="32"/>
      <c r="E48" s="49">
        <f>E47*Dados!$C$23/12</f>
        <v>1827.5000000000007</v>
      </c>
      <c r="F48" s="49">
        <f>F47*Dados!$C$23/12</f>
        <v>9350</v>
      </c>
      <c r="G48" s="49">
        <f>G47*Dados!$C$23/12</f>
        <v>13245.833333333336</v>
      </c>
      <c r="H48" s="49">
        <f>H47*Dados!$C$23/12</f>
        <v>13600.000000000002</v>
      </c>
      <c r="I48" s="49">
        <f>I47*Dados!$C$23/12</f>
        <v>13600.000000000002</v>
      </c>
    </row>
    <row r="49" spans="3:9" customFormat="1" ht="12.75"/>
    <row r="51" spans="3:9" ht="15">
      <c r="C51" s="30" t="s">
        <v>82</v>
      </c>
      <c r="D51" s="30"/>
      <c r="H51" s="69" t="s">
        <v>62</v>
      </c>
      <c r="I51" s="69"/>
    </row>
    <row r="52" spans="3:9" ht="15">
      <c r="C52" s="32"/>
      <c r="D52" s="32"/>
      <c r="E52" s="50" t="s">
        <v>13</v>
      </c>
      <c r="F52" s="50" t="s">
        <v>44</v>
      </c>
      <c r="G52" s="50" t="s">
        <v>45</v>
      </c>
      <c r="H52" s="50" t="s">
        <v>46</v>
      </c>
      <c r="I52" s="50" t="s">
        <v>47</v>
      </c>
    </row>
    <row r="53" spans="3:9">
      <c r="C53" s="31" t="s">
        <v>67</v>
      </c>
      <c r="E53" s="47"/>
      <c r="F53" s="47"/>
      <c r="G53" s="47"/>
      <c r="H53" s="47"/>
      <c r="I53" s="47"/>
    </row>
    <row r="54" spans="3:9">
      <c r="C54" s="52" t="s">
        <v>68</v>
      </c>
      <c r="D54" s="52"/>
      <c r="E54" s="47">
        <f>E18/1.2375*0.11</f>
        <v>8888.8888888888887</v>
      </c>
      <c r="F54" s="47">
        <f>F18/1.2375*0.11</f>
        <v>14222.222222222221</v>
      </c>
      <c r="G54" s="47">
        <f>G18/1.2375*0.11</f>
        <v>14222.222222222221</v>
      </c>
      <c r="H54" s="47">
        <f>H18/1.2375*0.11</f>
        <v>14222.222222222221</v>
      </c>
      <c r="I54" s="47">
        <f>I18/1.2375*0.11</f>
        <v>14222.222222222221</v>
      </c>
    </row>
    <row r="55" spans="3:9">
      <c r="C55" s="52" t="s">
        <v>69</v>
      </c>
      <c r="D55" s="52"/>
      <c r="E55" s="47">
        <f>E18-E18/1.2375</f>
        <v>19191.919191919194</v>
      </c>
      <c r="F55" s="47">
        <f>F18-F18/1.2375</f>
        <v>30707.070707070714</v>
      </c>
      <c r="G55" s="47">
        <f>G18-G18/1.2375</f>
        <v>30707.070707070714</v>
      </c>
      <c r="H55" s="47">
        <f>H18-H18/1.2375</f>
        <v>30707.070707070714</v>
      </c>
      <c r="I55" s="47">
        <f>I18-I18/1.2375</f>
        <v>30707.070707070714</v>
      </c>
    </row>
    <row r="56" spans="3:9">
      <c r="C56" s="14" t="s">
        <v>65</v>
      </c>
      <c r="D56" s="14"/>
      <c r="E56" s="47">
        <f>(E54+E55)*Dados!$C$24/14</f>
        <v>2005.772005772006</v>
      </c>
      <c r="F56" s="47">
        <f>(F54+F55)*Dados!$C$24/14</f>
        <v>3209.2352092352094</v>
      </c>
      <c r="G56" s="47">
        <f>(G54+G55)*Dados!$C$24/14</f>
        <v>3209.2352092352094</v>
      </c>
      <c r="H56" s="47">
        <f>(H54+H55)*Dados!$C$24/14</f>
        <v>3209.2352092352094</v>
      </c>
      <c r="I56" s="47">
        <f>(I54+I55)*Dados!$C$24/14</f>
        <v>3209.2352092352094</v>
      </c>
    </row>
    <row r="57" spans="3:9">
      <c r="E57" s="47"/>
      <c r="F57" s="47"/>
      <c r="G57" s="47"/>
      <c r="H57" s="47"/>
      <c r="I57" s="47"/>
    </row>
    <row r="58" spans="3:9">
      <c r="C58" s="31" t="s">
        <v>70</v>
      </c>
      <c r="E58" s="47">
        <f>E18/1.2375*0.14</f>
        <v>11313.131313131315</v>
      </c>
      <c r="F58" s="47">
        <f>F18/1.2375*0.14</f>
        <v>18101.010101010103</v>
      </c>
      <c r="G58" s="47">
        <f>G18/1.2375*0.14</f>
        <v>18101.010101010103</v>
      </c>
      <c r="H58" s="47">
        <f>H18/1.2375*0.14</f>
        <v>18101.010101010103</v>
      </c>
      <c r="I58" s="47">
        <f>I18/1.2375*0.14</f>
        <v>18101.010101010103</v>
      </c>
    </row>
    <row r="59" spans="3:9">
      <c r="C59" s="14" t="s">
        <v>65</v>
      </c>
      <c r="D59" s="14"/>
      <c r="E59" s="47">
        <f>E58/Dados!$C$25/14</f>
        <v>808.0808080808082</v>
      </c>
      <c r="F59" s="47">
        <f>F58/Dados!$C$25/14</f>
        <v>1292.9292929292931</v>
      </c>
      <c r="G59" s="47">
        <f>G58/Dados!$C$25/14</f>
        <v>1292.9292929292931</v>
      </c>
      <c r="H59" s="47">
        <f>H58/Dados!$C$25/14</f>
        <v>1292.9292929292931</v>
      </c>
      <c r="I59" s="47">
        <f>I58/Dados!$C$25/14</f>
        <v>1292.9292929292931</v>
      </c>
    </row>
    <row r="60" spans="3:9">
      <c r="C60" s="32" t="s">
        <v>71</v>
      </c>
      <c r="D60" s="32"/>
      <c r="E60" s="49">
        <f>E59+E56</f>
        <v>2813.8528138528141</v>
      </c>
      <c r="F60" s="49">
        <f>F59+F56</f>
        <v>4502.1645021645027</v>
      </c>
      <c r="G60" s="49">
        <f>G59+G56</f>
        <v>4502.1645021645027</v>
      </c>
      <c r="H60" s="49">
        <f>H59+H56</f>
        <v>4502.1645021645027</v>
      </c>
      <c r="I60" s="49">
        <f>I59+I56</f>
        <v>4502.1645021645027</v>
      </c>
    </row>
    <row r="63" spans="3:9" ht="15">
      <c r="C63" s="30" t="s">
        <v>72</v>
      </c>
      <c r="D63" s="30"/>
      <c r="H63" s="69" t="s">
        <v>62</v>
      </c>
      <c r="I63" s="69"/>
    </row>
    <row r="64" spans="3:9" ht="15">
      <c r="C64" s="32"/>
      <c r="D64" s="50"/>
      <c r="E64" s="50" t="s">
        <v>13</v>
      </c>
      <c r="F64" s="50" t="s">
        <v>44</v>
      </c>
      <c r="G64" s="50" t="s">
        <v>45</v>
      </c>
      <c r="H64" s="50" t="s">
        <v>46</v>
      </c>
      <c r="I64" s="50" t="s">
        <v>47</v>
      </c>
    </row>
    <row r="65" spans="3:10">
      <c r="C65" s="31" t="s">
        <v>73</v>
      </c>
      <c r="E65" s="47"/>
      <c r="F65" s="47"/>
      <c r="G65" s="47"/>
      <c r="H65" s="47"/>
      <c r="I65" s="47"/>
    </row>
    <row r="66" spans="3:10">
      <c r="C66" s="52" t="s">
        <v>74</v>
      </c>
      <c r="D66" s="52"/>
      <c r="E66" s="47">
        <f>E15*(1+Dados!$D$8)*Dados!$C$20/12</f>
        <v>35100</v>
      </c>
      <c r="F66" s="47">
        <f>F15*(1+Dados!$D$8)*Dados!$C$20/12</f>
        <v>175500</v>
      </c>
      <c r="G66" s="47">
        <f>G15*(1+Dados!$D$8)*Dados!$C$20/12</f>
        <v>234000</v>
      </c>
      <c r="H66" s="47">
        <f>H15*(1+Dados!$D$8)*Dados!$C$20/12</f>
        <v>234000</v>
      </c>
      <c r="I66" s="47">
        <f>I15*(1+Dados!$D$8)*Dados!$C$20/12</f>
        <v>234000</v>
      </c>
    </row>
    <row r="67" spans="3:10">
      <c r="C67" s="52" t="s">
        <v>75</v>
      </c>
      <c r="D67" s="52"/>
      <c r="E67" s="47">
        <f>E36*Dados!$C$21/12</f>
        <v>7500</v>
      </c>
      <c r="F67" s="47">
        <f>F36*Dados!$C$21/12</f>
        <v>37500</v>
      </c>
      <c r="G67" s="47">
        <f>G36*Dados!$C$21/12</f>
        <v>50000</v>
      </c>
      <c r="H67" s="47">
        <f>H36*Dados!$C$21/12</f>
        <v>50000</v>
      </c>
      <c r="I67" s="47">
        <f>I36*Dados!$C$21/12</f>
        <v>50000</v>
      </c>
    </row>
    <row r="68" spans="3:10">
      <c r="C68" s="14" t="s">
        <v>76</v>
      </c>
      <c r="D68" s="14"/>
      <c r="E68" s="47">
        <f>E66+E67</f>
        <v>42600</v>
      </c>
      <c r="F68" s="47">
        <f>F66+F67</f>
        <v>213000</v>
      </c>
      <c r="G68" s="47">
        <f>G66+G67</f>
        <v>284000</v>
      </c>
      <c r="H68" s="47">
        <f>H66+H67</f>
        <v>284000</v>
      </c>
      <c r="I68" s="47">
        <f>I66+I67</f>
        <v>284000</v>
      </c>
    </row>
    <row r="69" spans="3:10">
      <c r="E69" s="47"/>
      <c r="F69" s="47"/>
      <c r="G69" s="47"/>
      <c r="H69" s="47"/>
      <c r="I69" s="47"/>
    </row>
    <row r="70" spans="3:10">
      <c r="C70" s="31" t="s">
        <v>77</v>
      </c>
      <c r="E70" s="47"/>
      <c r="F70" s="47"/>
      <c r="G70" s="47"/>
      <c r="H70" s="47"/>
      <c r="I70" s="47"/>
    </row>
    <row r="71" spans="3:10">
      <c r="C71" s="52" t="s">
        <v>78</v>
      </c>
      <c r="D71" s="52"/>
      <c r="E71" s="47">
        <f>(E39+E17)*(1+Dados!$D$8)*Dados!$C$22/12</f>
        <v>16891.875</v>
      </c>
      <c r="F71" s="47">
        <f>(F39+F17)*(1+Dados!$D$8)*Dados!$C$22/12</f>
        <v>83362.5</v>
      </c>
      <c r="G71" s="47">
        <f>(G39+G17)*(1+Dados!$D$8)*Dados!$C$22/12</f>
        <v>107128.125</v>
      </c>
      <c r="H71" s="47">
        <f>(H39+H17)*(1+Dados!$D$8)*Dados!$C$22/12</f>
        <v>105300</v>
      </c>
      <c r="I71" s="47">
        <f>(I39+I17)*(1+Dados!$D$8)*Dados!$C$22/12</f>
        <v>105300</v>
      </c>
    </row>
    <row r="72" spans="3:10">
      <c r="C72" s="52" t="s">
        <v>79</v>
      </c>
      <c r="D72" s="52"/>
      <c r="E72" s="47">
        <f>E60+E48</f>
        <v>4641.3528138528145</v>
      </c>
      <c r="F72" s="47">
        <f>F60+F48</f>
        <v>13852.164502164502</v>
      </c>
      <c r="G72" s="47">
        <f>G60+G48</f>
        <v>17747.997835497838</v>
      </c>
      <c r="H72" s="47">
        <f>H60+H48</f>
        <v>18102.164502164505</v>
      </c>
      <c r="I72" s="47">
        <f>I60+I48</f>
        <v>18102.164502164505</v>
      </c>
    </row>
    <row r="73" spans="3:10">
      <c r="C73" s="14" t="s">
        <v>76</v>
      </c>
      <c r="D73" s="14"/>
      <c r="E73" s="47">
        <f>E72+E71</f>
        <v>21533.227813852813</v>
      </c>
      <c r="F73" s="47">
        <f>F72+F71</f>
        <v>97214.664502164494</v>
      </c>
      <c r="G73" s="47">
        <f>G72+G71</f>
        <v>124876.12283549784</v>
      </c>
      <c r="H73" s="47">
        <f>H72+H71</f>
        <v>123402.16450216451</v>
      </c>
      <c r="I73" s="47">
        <f>I72+I71</f>
        <v>123402.16450216451</v>
      </c>
    </row>
    <row r="74" spans="3:10">
      <c r="E74" s="47"/>
      <c r="F74" s="47"/>
      <c r="G74" s="47"/>
      <c r="H74" s="47"/>
      <c r="I74" s="47"/>
    </row>
    <row r="75" spans="3:10">
      <c r="C75" s="31" t="s">
        <v>80</v>
      </c>
      <c r="E75" s="47">
        <f>E68-E73</f>
        <v>21066.772186147187</v>
      </c>
      <c r="F75" s="47">
        <f>F68-F73</f>
        <v>115785.33549783551</v>
      </c>
      <c r="G75" s="47">
        <f>G68-G73</f>
        <v>159123.87716450216</v>
      </c>
      <c r="H75" s="47">
        <f>H68-H73</f>
        <v>160597.83549783548</v>
      </c>
      <c r="I75" s="47">
        <f>I68-I73</f>
        <v>160597.83549783548</v>
      </c>
    </row>
    <row r="76" spans="3:10">
      <c r="C76" s="53" t="s">
        <v>81</v>
      </c>
      <c r="D76" s="53"/>
      <c r="E76" s="48">
        <f>E75</f>
        <v>21066.772186147187</v>
      </c>
      <c r="F76" s="48">
        <f>F75-E75</f>
        <v>94718.563311688311</v>
      </c>
      <c r="G76" s="48">
        <f>G75-F75</f>
        <v>43338.541666666657</v>
      </c>
      <c r="H76" s="48">
        <f>H75-G75</f>
        <v>1473.9583333333139</v>
      </c>
      <c r="I76" s="48">
        <f>I75-H75</f>
        <v>0</v>
      </c>
    </row>
    <row r="77" spans="3:10">
      <c r="C77" s="42"/>
      <c r="D77" s="42"/>
      <c r="E77" s="51"/>
      <c r="F77" s="51"/>
      <c r="G77" s="51"/>
      <c r="H77" s="51"/>
      <c r="I77" s="51"/>
    </row>
    <row r="79" spans="3:10" ht="15">
      <c r="C79" s="30" t="s">
        <v>83</v>
      </c>
      <c r="D79" s="30"/>
      <c r="I79" s="69" t="s">
        <v>62</v>
      </c>
      <c r="J79" s="69"/>
    </row>
    <row r="80" spans="3:10" ht="15">
      <c r="C80" s="32"/>
      <c r="D80" s="50" t="s">
        <v>90</v>
      </c>
      <c r="E80" s="50" t="s">
        <v>13</v>
      </c>
      <c r="F80" s="50" t="s">
        <v>44</v>
      </c>
      <c r="G80" s="50" t="s">
        <v>45</v>
      </c>
      <c r="H80" s="50" t="s">
        <v>46</v>
      </c>
      <c r="I80" s="50" t="s">
        <v>47</v>
      </c>
      <c r="J80" s="50" t="s">
        <v>86</v>
      </c>
    </row>
    <row r="81" spans="3:10">
      <c r="C81" s="31" t="s">
        <v>77</v>
      </c>
      <c r="E81" s="47"/>
      <c r="F81" s="47"/>
      <c r="G81" s="47"/>
      <c r="H81" s="47"/>
      <c r="I81" s="47"/>
      <c r="J81" s="47"/>
    </row>
    <row r="82" spans="3:10">
      <c r="C82" s="52" t="s">
        <v>56</v>
      </c>
      <c r="D82" s="52"/>
      <c r="E82" s="47">
        <f>E29</f>
        <v>-48000</v>
      </c>
      <c r="F82" s="47">
        <f>F29</f>
        <v>170000</v>
      </c>
      <c r="G82" s="47">
        <f>G29</f>
        <v>244000</v>
      </c>
      <c r="H82" s="47">
        <f>H29</f>
        <v>211600</v>
      </c>
      <c r="I82" s="47">
        <f>I29</f>
        <v>211600</v>
      </c>
      <c r="J82" s="47"/>
    </row>
    <row r="83" spans="3:10">
      <c r="C83" s="52" t="s">
        <v>84</v>
      </c>
      <c r="D83" s="52"/>
      <c r="E83" s="47"/>
      <c r="F83" s="47"/>
      <c r="G83" s="47"/>
      <c r="H83" s="47"/>
      <c r="I83" s="47"/>
      <c r="J83" s="47">
        <f>I75</f>
        <v>160597.83549783548</v>
      </c>
    </row>
    <row r="84" spans="3:10">
      <c r="C84" s="52" t="s">
        <v>85</v>
      </c>
      <c r="D84" s="52"/>
      <c r="E84" s="47"/>
      <c r="F84" s="47"/>
      <c r="G84" s="47"/>
      <c r="H84" s="47"/>
      <c r="I84" s="47"/>
      <c r="J84" s="47">
        <f>110000</f>
        <v>110000</v>
      </c>
    </row>
    <row r="85" spans="3:10">
      <c r="C85" s="14" t="s">
        <v>76</v>
      </c>
      <c r="D85" s="14"/>
      <c r="E85" s="47">
        <f t="shared" ref="E85:J85" si="0">E82+E83+E84</f>
        <v>-48000</v>
      </c>
      <c r="F85" s="47">
        <f t="shared" si="0"/>
        <v>170000</v>
      </c>
      <c r="G85" s="47">
        <f t="shared" si="0"/>
        <v>244000</v>
      </c>
      <c r="H85" s="47">
        <f t="shared" si="0"/>
        <v>211600</v>
      </c>
      <c r="I85" s="47">
        <f t="shared" si="0"/>
        <v>211600</v>
      </c>
      <c r="J85" s="47">
        <f t="shared" si="0"/>
        <v>270597.83549783548</v>
      </c>
    </row>
    <row r="86" spans="3:10">
      <c r="E86" s="47"/>
      <c r="F86" s="47"/>
      <c r="G86" s="47"/>
      <c r="H86" s="47"/>
      <c r="I86" s="47"/>
      <c r="J86" s="47"/>
    </row>
    <row r="87" spans="3:10">
      <c r="C87" s="31" t="s">
        <v>73</v>
      </c>
      <c r="E87" s="47"/>
      <c r="F87" s="47"/>
      <c r="G87" s="47"/>
      <c r="H87" s="47"/>
      <c r="I87" s="47"/>
      <c r="J87" s="47"/>
    </row>
    <row r="88" spans="3:10">
      <c r="C88" s="52" t="s">
        <v>87</v>
      </c>
      <c r="D88" s="47">
        <f>E8</f>
        <v>505000</v>
      </c>
      <c r="E88" s="47"/>
      <c r="F88" s="47"/>
      <c r="G88" s="47">
        <v>90000</v>
      </c>
      <c r="H88" s="47"/>
      <c r="I88" s="47"/>
      <c r="J88" s="47"/>
    </row>
    <row r="89" spans="3:10">
      <c r="C89" s="52" t="s">
        <v>88</v>
      </c>
      <c r="D89" s="52"/>
      <c r="E89" s="47">
        <f>E76</f>
        <v>21066.772186147187</v>
      </c>
      <c r="F89" s="47">
        <f>F76</f>
        <v>94718.563311688311</v>
      </c>
      <c r="G89" s="47">
        <f>G76</f>
        <v>43338.541666666657</v>
      </c>
      <c r="H89" s="47">
        <f>H76</f>
        <v>1473.9583333333139</v>
      </c>
      <c r="I89" s="47"/>
      <c r="J89" s="47"/>
    </row>
    <row r="90" spans="3:10">
      <c r="C90" s="14" t="s">
        <v>76</v>
      </c>
      <c r="D90" s="47">
        <f>D88+D89</f>
        <v>505000</v>
      </c>
      <c r="E90" s="47">
        <f>E88+E89</f>
        <v>21066.772186147187</v>
      </c>
      <c r="F90" s="47">
        <f>F88+F89</f>
        <v>94718.563311688311</v>
      </c>
      <c r="G90" s="47">
        <f>G88+G89</f>
        <v>133338.54166666666</v>
      </c>
      <c r="H90" s="47">
        <f>H88+H89</f>
        <v>1473.9583333333139</v>
      </c>
      <c r="I90" s="47"/>
      <c r="J90" s="47"/>
    </row>
    <row r="91" spans="3:10">
      <c r="E91" s="47"/>
      <c r="F91" s="47"/>
      <c r="G91" s="47"/>
      <c r="H91" s="47"/>
      <c r="I91" s="47"/>
      <c r="J91" s="47"/>
    </row>
    <row r="92" spans="3:10">
      <c r="C92" s="37" t="s">
        <v>83</v>
      </c>
      <c r="D92" s="48">
        <f>D85-D90</f>
        <v>-505000</v>
      </c>
      <c r="E92" s="48">
        <f t="shared" ref="E92:J92" si="1">E85-E90</f>
        <v>-69066.772186147195</v>
      </c>
      <c r="F92" s="48">
        <f t="shared" si="1"/>
        <v>75281.436688311689</v>
      </c>
      <c r="G92" s="48">
        <f t="shared" si="1"/>
        <v>110661.45833333334</v>
      </c>
      <c r="H92" s="48">
        <f t="shared" si="1"/>
        <v>210126.04166666669</v>
      </c>
      <c r="I92" s="48">
        <f t="shared" si="1"/>
        <v>211600</v>
      </c>
      <c r="J92" s="48">
        <f t="shared" si="1"/>
        <v>270597.83549783548</v>
      </c>
    </row>
    <row r="93" spans="3:10">
      <c r="C93" s="54"/>
      <c r="D93" s="57">
        <v>0</v>
      </c>
      <c r="E93" s="58">
        <v>1</v>
      </c>
      <c r="F93" s="58">
        <v>2</v>
      </c>
      <c r="G93" s="58">
        <v>3</v>
      </c>
      <c r="H93" s="58">
        <v>4</v>
      </c>
      <c r="I93" s="58">
        <v>5</v>
      </c>
      <c r="J93" s="58">
        <v>6</v>
      </c>
    </row>
    <row r="94" spans="3:10">
      <c r="C94" s="42"/>
      <c r="D94" s="42"/>
      <c r="E94" s="42"/>
      <c r="F94" s="42"/>
      <c r="G94" s="42"/>
      <c r="H94" s="42"/>
      <c r="I94" s="42"/>
      <c r="J94" s="42"/>
    </row>
    <row r="95" spans="3:10" ht="15">
      <c r="C95" s="30" t="s">
        <v>89</v>
      </c>
      <c r="D95" s="30"/>
      <c r="I95" s="69" t="s">
        <v>62</v>
      </c>
      <c r="J95" s="69"/>
    </row>
    <row r="96" spans="3:10" ht="15">
      <c r="C96" s="32"/>
      <c r="D96" s="50" t="s">
        <v>90</v>
      </c>
      <c r="E96" s="50" t="s">
        <v>13</v>
      </c>
      <c r="F96" s="50" t="s">
        <v>44</v>
      </c>
      <c r="G96" s="50" t="s">
        <v>45</v>
      </c>
      <c r="H96" s="50" t="s">
        <v>46</v>
      </c>
      <c r="I96" s="50" t="s">
        <v>47</v>
      </c>
      <c r="J96" s="50" t="s">
        <v>86</v>
      </c>
    </row>
    <row r="97" spans="3:10">
      <c r="C97" s="31" t="s">
        <v>83</v>
      </c>
      <c r="D97" s="47">
        <f>D92</f>
        <v>-505000</v>
      </c>
      <c r="E97" s="47">
        <f t="shared" ref="E97:J97" si="2">E92</f>
        <v>-69066.772186147195</v>
      </c>
      <c r="F97" s="47">
        <f t="shared" si="2"/>
        <v>75281.436688311689</v>
      </c>
      <c r="G97" s="47">
        <f t="shared" si="2"/>
        <v>110661.45833333334</v>
      </c>
      <c r="H97" s="47">
        <f t="shared" si="2"/>
        <v>210126.04166666669</v>
      </c>
      <c r="I97" s="47">
        <f t="shared" si="2"/>
        <v>211600</v>
      </c>
      <c r="J97" s="47">
        <f t="shared" si="2"/>
        <v>270597.83549783548</v>
      </c>
    </row>
    <row r="98" spans="3:10">
      <c r="C98" s="55" t="s">
        <v>91</v>
      </c>
      <c r="D98" s="56">
        <f t="shared" ref="D98:J98" si="3">1.08^-D93</f>
        <v>1</v>
      </c>
      <c r="E98" s="56">
        <f t="shared" si="3"/>
        <v>0.92592592592592582</v>
      </c>
      <c r="F98" s="56">
        <f t="shared" si="3"/>
        <v>0.85733882030178321</v>
      </c>
      <c r="G98" s="56">
        <f t="shared" si="3"/>
        <v>0.79383224102016958</v>
      </c>
      <c r="H98" s="56">
        <f t="shared" si="3"/>
        <v>0.73502985279645328</v>
      </c>
      <c r="I98" s="56">
        <f t="shared" si="3"/>
        <v>0.68058319703375303</v>
      </c>
      <c r="J98" s="56">
        <f t="shared" si="3"/>
        <v>0.63016962688310452</v>
      </c>
    </row>
    <row r="99" spans="3:10">
      <c r="C99" s="55" t="s">
        <v>92</v>
      </c>
      <c r="D99" s="47">
        <f>D97*D98</f>
        <v>-505000</v>
      </c>
      <c r="E99" s="47">
        <f t="shared" ref="E99:J99" si="4">E97*E98</f>
        <v>-63950.71498717332</v>
      </c>
      <c r="F99" s="47">
        <f t="shared" si="4"/>
        <v>64541.698120980524</v>
      </c>
      <c r="G99" s="47">
        <f t="shared" si="4"/>
        <v>87846.633463310121</v>
      </c>
      <c r="H99" s="47">
        <f t="shared" si="4"/>
        <v>154448.91347495143</v>
      </c>
      <c r="I99" s="47">
        <f t="shared" si="4"/>
        <v>144011.40449234215</v>
      </c>
      <c r="J99" s="47">
        <f t="shared" si="4"/>
        <v>170522.53703104667</v>
      </c>
    </row>
    <row r="100" spans="3:10">
      <c r="C100" s="60" t="s">
        <v>89</v>
      </c>
      <c r="D100" s="51">
        <f>SUM(D99:J99)</f>
        <v>52420.47159545758</v>
      </c>
      <c r="E100" s="51"/>
      <c r="F100" s="51"/>
      <c r="G100" s="51"/>
      <c r="H100" s="51"/>
      <c r="I100" s="51"/>
      <c r="J100" s="42"/>
    </row>
    <row r="101" spans="3:10">
      <c r="C101" s="59" t="s">
        <v>93</v>
      </c>
      <c r="D101" s="62">
        <f>IRR(D97:J97)</f>
        <v>0.10235066621477223</v>
      </c>
      <c r="E101" s="48"/>
      <c r="F101" s="48"/>
      <c r="G101" s="48"/>
      <c r="H101" s="48"/>
      <c r="I101" s="48"/>
      <c r="J101" s="48"/>
    </row>
    <row r="104" spans="3:10" ht="15">
      <c r="C104" s="30" t="s">
        <v>94</v>
      </c>
      <c r="D104" s="69" t="s">
        <v>62</v>
      </c>
      <c r="E104" s="69"/>
    </row>
    <row r="105" spans="3:10" ht="40.5">
      <c r="C105" s="33" t="s">
        <v>96</v>
      </c>
      <c r="D105" s="33" t="s">
        <v>97</v>
      </c>
      <c r="E105" s="33" t="s">
        <v>98</v>
      </c>
    </row>
    <row r="106" spans="3:10">
      <c r="C106" s="64">
        <v>0</v>
      </c>
      <c r="D106" s="51">
        <f>D99</f>
        <v>-505000</v>
      </c>
      <c r="E106" s="51">
        <f>D106</f>
        <v>-505000</v>
      </c>
    </row>
    <row r="107" spans="3:10">
      <c r="C107" s="64">
        <v>1</v>
      </c>
      <c r="D107" s="47">
        <f>E99</f>
        <v>-63950.71498717332</v>
      </c>
      <c r="E107" s="51">
        <f t="shared" ref="E107:E112" si="5">D107+E106</f>
        <v>-568950.71498717333</v>
      </c>
      <c r="F107" s="51"/>
    </row>
    <row r="108" spans="3:10">
      <c r="C108" s="64">
        <v>2</v>
      </c>
      <c r="D108" s="47">
        <f>F99</f>
        <v>64541.698120980524</v>
      </c>
      <c r="E108" s="51">
        <f t="shared" si="5"/>
        <v>-504409.0168661928</v>
      </c>
      <c r="F108" s="51"/>
    </row>
    <row r="109" spans="3:10">
      <c r="C109" s="64">
        <v>3</v>
      </c>
      <c r="D109" s="47">
        <f>G99</f>
        <v>87846.633463310121</v>
      </c>
      <c r="E109" s="51">
        <f t="shared" si="5"/>
        <v>-416562.38340288267</v>
      </c>
      <c r="F109" s="51"/>
    </row>
    <row r="110" spans="3:10">
      <c r="C110" s="64">
        <v>4</v>
      </c>
      <c r="D110" s="47">
        <f>H99</f>
        <v>154448.91347495143</v>
      </c>
      <c r="E110" s="51">
        <f t="shared" si="5"/>
        <v>-262113.46992793123</v>
      </c>
      <c r="F110" s="51"/>
    </row>
    <row r="111" spans="3:10">
      <c r="C111" s="64">
        <v>5</v>
      </c>
      <c r="D111" s="47">
        <f>I99</f>
        <v>144011.40449234215</v>
      </c>
      <c r="E111" s="51">
        <f t="shared" si="5"/>
        <v>-118102.06543558909</v>
      </c>
      <c r="F111" s="51"/>
    </row>
    <row r="112" spans="3:10">
      <c r="C112" s="64">
        <v>6</v>
      </c>
      <c r="D112" s="47">
        <f>J99</f>
        <v>170522.53703104667</v>
      </c>
      <c r="E112" s="51">
        <f t="shared" si="5"/>
        <v>52420.47159545758</v>
      </c>
      <c r="F112" s="51"/>
    </row>
    <row r="113" spans="3:7">
      <c r="C113" s="61" t="s">
        <v>95</v>
      </c>
      <c r="D113" s="63">
        <f>I93+ABS(E111)/(E112-E111)</f>
        <v>5.6925891878683839</v>
      </c>
      <c r="E113" s="37"/>
    </row>
    <row r="116" spans="3:7" ht="15">
      <c r="C116" s="30" t="s">
        <v>99</v>
      </c>
      <c r="F116" s="69" t="s">
        <v>62</v>
      </c>
      <c r="G116" s="69"/>
    </row>
    <row r="117" spans="3:7" ht="67.5">
      <c r="C117" s="33" t="s">
        <v>96</v>
      </c>
      <c r="D117" s="33" t="s">
        <v>107</v>
      </c>
      <c r="E117" s="33" t="s">
        <v>108</v>
      </c>
      <c r="F117" s="33" t="s">
        <v>101</v>
      </c>
      <c r="G117" s="33" t="s">
        <v>100</v>
      </c>
    </row>
    <row r="118" spans="3:7">
      <c r="C118" s="64">
        <v>0</v>
      </c>
      <c r="D118" s="51">
        <v>0</v>
      </c>
      <c r="E118" s="51">
        <f>D118</f>
        <v>0</v>
      </c>
      <c r="F118" s="51">
        <v>505000</v>
      </c>
      <c r="G118" s="51">
        <f>F118*1.08^0</f>
        <v>505000</v>
      </c>
    </row>
    <row r="119" spans="3:7">
      <c r="C119" s="64">
        <v>1</v>
      </c>
      <c r="D119" s="47">
        <f>E97</f>
        <v>-69066.772186147195</v>
      </c>
      <c r="E119" s="51">
        <f>D119*1.08^-1</f>
        <v>-63950.71498717332</v>
      </c>
      <c r="F119" s="51"/>
      <c r="G119" s="51"/>
    </row>
    <row r="120" spans="3:7">
      <c r="C120" s="64">
        <v>2</v>
      </c>
      <c r="D120" s="47">
        <f>F97</f>
        <v>75281.436688311689</v>
      </c>
      <c r="E120" s="51">
        <f>D120*1.08^-2</f>
        <v>64541.698120980524</v>
      </c>
      <c r="F120" s="51"/>
      <c r="G120" s="51"/>
    </row>
    <row r="121" spans="3:7">
      <c r="C121" s="64">
        <v>3</v>
      </c>
      <c r="D121" s="47">
        <f>G97+G88</f>
        <v>200661.45833333334</v>
      </c>
      <c r="E121" s="51">
        <f>D121*1.08^-3</f>
        <v>159291.5351551254</v>
      </c>
      <c r="F121" s="51">
        <v>90000</v>
      </c>
      <c r="G121" s="51">
        <f>F121*1.08^-3</f>
        <v>71444.901691815263</v>
      </c>
    </row>
    <row r="122" spans="3:7">
      <c r="C122" s="64">
        <v>4</v>
      </c>
      <c r="D122" s="47">
        <f>H97</f>
        <v>210126.04166666669</v>
      </c>
      <c r="E122" s="51">
        <f>D122*1.08^-4</f>
        <v>154448.91347495143</v>
      </c>
      <c r="F122" s="51"/>
      <c r="G122" s="51"/>
    </row>
    <row r="123" spans="3:7">
      <c r="C123" s="64">
        <v>5</v>
      </c>
      <c r="D123" s="47">
        <f>I97</f>
        <v>211600</v>
      </c>
      <c r="E123" s="51">
        <f>D123*1.08^-5</f>
        <v>144011.40449234215</v>
      </c>
      <c r="F123" s="51"/>
      <c r="G123" s="51"/>
    </row>
    <row r="124" spans="3:7">
      <c r="C124" s="64">
        <v>6</v>
      </c>
      <c r="D124" s="48">
        <f>J97</f>
        <v>270597.83549783548</v>
      </c>
      <c r="E124" s="48">
        <f>D124*1.08^-6</f>
        <v>170522.53703104667</v>
      </c>
      <c r="F124" s="48"/>
      <c r="G124" s="48"/>
    </row>
    <row r="125" spans="3:7" ht="15">
      <c r="C125" s="66" t="s">
        <v>76</v>
      </c>
      <c r="D125" s="67"/>
      <c r="E125" s="67">
        <f>SUM(E118:E124)</f>
        <v>628865.37328727287</v>
      </c>
      <c r="F125" s="68"/>
      <c r="G125" s="67">
        <f>SUM(G118:G124)</f>
        <v>576444.90169181523</v>
      </c>
    </row>
  </sheetData>
  <mergeCells count="8">
    <mergeCell ref="I79:J79"/>
    <mergeCell ref="I95:J95"/>
    <mergeCell ref="D104:E104"/>
    <mergeCell ref="F116:G116"/>
    <mergeCell ref="H34:I34"/>
    <mergeCell ref="H42:I42"/>
    <mergeCell ref="H51:I51"/>
    <mergeCell ref="H63:I63"/>
  </mergeCells>
  <phoneticPr fontId="0" type="noConversion"/>
  <printOptions horizontalCentered="1" verticalCentered="1"/>
  <pageMargins left="0.74" right="0.75" top="0.65" bottom="0.36" header="0.5" footer="0.25"/>
  <pageSetup paperSize="9" scale="11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Dados</vt:lpstr>
      <vt:lpstr>Mapas</vt:lpstr>
      <vt:lpstr>Dados!_ftn1</vt:lpstr>
      <vt:lpstr>Dados!_ftnref1</vt:lpstr>
      <vt:lpstr>Mapas!Print_Area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cp:lastPrinted>2005-02-22T08:19:54Z</cp:lastPrinted>
  <dcterms:created xsi:type="dcterms:W3CDTF">2002-10-05T10:44:19Z</dcterms:created>
  <dcterms:modified xsi:type="dcterms:W3CDTF">2010-09-30T16:09:09Z</dcterms:modified>
</cp:coreProperties>
</file>